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Assumptions" sheetId="2" state="visible" r:id="rId2"/>
    <sheet xmlns:r="http://schemas.openxmlformats.org/officeDocument/2006/relationships" name="Product Mix" sheetId="3" state="visible" r:id="rId3"/>
    <sheet xmlns:r="http://schemas.openxmlformats.org/officeDocument/2006/relationships" name="Mix Ramp" sheetId="4" state="visible" r:id="rId4"/>
    <sheet xmlns:r="http://schemas.openxmlformats.org/officeDocument/2006/relationships" name="Revenue Ramp" sheetId="5" state="visible" r:id="rId5"/>
    <sheet xmlns:r="http://schemas.openxmlformats.org/officeDocument/2006/relationships" name="Mass Balance" sheetId="6" state="visible" r:id="rId6"/>
    <sheet xmlns:r="http://schemas.openxmlformats.org/officeDocument/2006/relationships" name="Capacity &amp; Capex" sheetId="7" state="visible" r:id="rId7"/>
    <sheet xmlns:r="http://schemas.openxmlformats.org/officeDocument/2006/relationships" name="Credits" sheetId="8" state="visible" r:id="rId8"/>
    <sheet xmlns:r="http://schemas.openxmlformats.org/officeDocument/2006/relationships" name="Opex" sheetId="9" state="visible" r:id="rId9"/>
    <sheet xmlns:r="http://schemas.openxmlformats.org/officeDocument/2006/relationships" name="P&amp;L" sheetId="10" state="visible" r:id="rId10"/>
    <sheet xmlns:r="http://schemas.openxmlformats.org/officeDocument/2006/relationships" name="Cash Flow 25yr" sheetId="11" state="visible" r:id="rId11"/>
    <sheet xmlns:r="http://schemas.openxmlformats.org/officeDocument/2006/relationships" name="Returns" sheetId="12" state="visible" r:id="rId12"/>
    <sheet xmlns:r="http://schemas.openxmlformats.org/officeDocument/2006/relationships" name="Sensitivity" sheetId="13" state="visible" r:id="rId13"/>
    <sheet xmlns:r="http://schemas.openxmlformats.org/officeDocument/2006/relationships" name="Feasibility" sheetId="14" state="visible" r:id="rId14"/>
    <sheet xmlns:r="http://schemas.openxmlformats.org/officeDocument/2006/relationships" name="Benchmarks" sheetId="15" state="visible" r:id="rId15"/>
    <sheet xmlns:r="http://schemas.openxmlformats.org/officeDocument/2006/relationships" name="Sources" sheetId="16" state="visible" r:id="rId16"/>
  </sheets>
  <definedNames/>
  <calcPr calcId="124519" fullCalcOnLoad="1"/>
</workbook>
</file>

<file path=xl/styles.xml><?xml version="1.0" encoding="utf-8"?>
<styleSheet xmlns="http://schemas.openxmlformats.org/spreadsheetml/2006/main">
  <numFmts count="7">
    <numFmt numFmtId="164" formatCode="0.0%"/>
    <numFmt numFmtId="165" formatCode="0.0000"/>
    <numFmt numFmtId="166" formatCode="0.000"/>
    <numFmt numFmtId="167" formatCode="0.0"/>
    <numFmt numFmtId="168" formatCode="$#,##0"/>
    <numFmt numFmtId="169" formatCode="#,##0.0,,&quot;M&quot;"/>
    <numFmt numFmtId="170" formatCode="0.0&quot;x&quot;"/>
  </numFmts>
  <fonts count="10">
    <font>
      <name val="Calibri"/>
      <family val="2"/>
      <color theme="1"/>
      <sz val="11"/>
      <scheme val="minor"/>
    </font>
    <font>
      <name val="Georgia"/>
      <b val="1"/>
      <color rgb="FF0D1621"/>
      <sz val="15"/>
    </font>
    <font>
      <name val="Inter"/>
      <b val="1"/>
      <color rgb="FF0D1621"/>
      <sz val="10"/>
    </font>
    <font>
      <name val="Inter"/>
      <color rgb="FF0D1621"/>
      <sz val="10"/>
    </font>
    <font>
      <name val="Inter"/>
      <color rgb="FF6B7280"/>
      <sz val="9"/>
    </font>
    <font>
      <name val="Consolas"/>
      <b val="1"/>
      <color rgb="FFE85D04"/>
      <sz val="10"/>
    </font>
    <font>
      <name val="Georgia"/>
      <b val="1"/>
      <color rgb="FF0D1621"/>
      <sz val="12"/>
    </font>
    <font>
      <name val="Consolas"/>
      <color rgb="FF0D1621"/>
      <sz val="10"/>
    </font>
    <font>
      <name val="Inter"/>
      <b val="1"/>
      <color rgb="FF0D1621"/>
      <sz val="9"/>
    </font>
    <font>
      <name val="Consolas"/>
      <b val="1"/>
      <color rgb="FF0D1621"/>
      <sz val="10"/>
    </font>
  </fonts>
  <fills count="3">
    <fill>
      <patternFill/>
    </fill>
    <fill>
      <patternFill patternType="gray125"/>
    </fill>
    <fill>
      <patternFill patternType="solid">
        <fgColor rgb="FFFBEEE6"/>
      </patternFill>
    </fill>
  </fills>
  <borders count="2">
    <border>
      <left/>
      <right/>
      <top/>
      <bottom/>
      <diagonal/>
    </border>
    <border>
      <bottom style="thin">
        <color rgb="FFE6E4DD"/>
      </bottom>
    </border>
  </borders>
  <cellStyleXfs count="1">
    <xf numFmtId="0" fontId="0" fillId="0" borderId="0"/>
  </cellStyleXfs>
  <cellXfs count="51">
    <xf numFmtId="0" fontId="0" fillId="0" borderId="0" pivotButton="0" quotePrefix="0" xfId="0"/>
    <xf numFmtId="0" fontId="1" fillId="0" borderId="0" pivotButton="0" quotePrefix="0" xfId="0"/>
    <xf numFmtId="0" fontId="1" fillId="0" borderId="0" applyAlignment="1" pivotButton="0" quotePrefix="0" xfId="0">
      <alignment vertical="top" wrapText="1"/>
    </xf>
    <xf numFmtId="0" fontId="2" fillId="0" borderId="0" pivotButton="0" quotePrefix="0" xfId="0"/>
    <xf numFmtId="0" fontId="3" fillId="0" borderId="0" applyAlignment="1" pivotButton="0" quotePrefix="0" xfId="0">
      <alignment vertical="top" wrapText="1"/>
    </xf>
    <xf numFmtId="0" fontId="2" fillId="0" borderId="0" applyAlignment="1" pivotButton="0" quotePrefix="0" xfId="0">
      <alignment vertical="top" wrapText="1"/>
    </xf>
    <xf numFmtId="0" fontId="4" fillId="0" borderId="0" pivotButton="0" quotePrefix="0" xfId="0"/>
    <xf numFmtId="0" fontId="5" fillId="2" borderId="0" pivotButton="0" quotePrefix="0" xfId="0"/>
    <xf numFmtId="0" fontId="6" fillId="0" borderId="1" pivotButton="0" quotePrefix="0" xfId="0"/>
    <xf numFmtId="0" fontId="0" fillId="0" borderId="1" pivotButton="0" quotePrefix="0" xfId="0"/>
    <xf numFmtId="0" fontId="3" fillId="0" borderId="0" pivotButton="0" quotePrefix="0" xfId="0"/>
    <xf numFmtId="3" fontId="7" fillId="2" borderId="0" pivotButton="0" quotePrefix="0" xfId="0"/>
    <xf numFmtId="164" fontId="7" fillId="2" borderId="0" pivotButton="0" quotePrefix="0" xfId="0"/>
    <xf numFmtId="165" fontId="7" fillId="2" borderId="0" pivotButton="0" quotePrefix="0" xfId="0"/>
    <xf numFmtId="166" fontId="7" fillId="2" borderId="0" pivotButton="0" quotePrefix="0" xfId="0"/>
    <xf numFmtId="167" fontId="7" fillId="2" borderId="0" pivotButton="0" quotePrefix="0" xfId="0"/>
    <xf numFmtId="2" fontId="7" fillId="2" borderId="0" pivotButton="0" quotePrefix="0" xfId="0"/>
    <xf numFmtId="168" fontId="7" fillId="2" borderId="0" pivotButton="0" quotePrefix="0" xfId="0"/>
    <xf numFmtId="0" fontId="9" fillId="0" borderId="0" pivotButton="0" quotePrefix="0" xfId="0"/>
    <xf numFmtId="0" fontId="8" fillId="0" borderId="1" applyAlignment="1" pivotButton="0" quotePrefix="0" xfId="0">
      <alignment horizontal="left" wrapText="1"/>
    </xf>
    <xf numFmtId="0" fontId="8" fillId="0" borderId="1" applyAlignment="1" pivotButton="0" quotePrefix="0" xfId="0">
      <alignment horizontal="right" wrapText="1"/>
    </xf>
    <xf numFmtId="3" fontId="7" fillId="0" borderId="0" pivotButton="0" quotePrefix="0" xfId="0"/>
    <xf numFmtId="169" fontId="7" fillId="0" borderId="0" pivotButton="0" quotePrefix="0" xfId="0"/>
    <xf numFmtId="3" fontId="9" fillId="2" borderId="0" pivotButton="0" quotePrefix="0" xfId="0"/>
    <xf numFmtId="168" fontId="9" fillId="0" borderId="0" pivotButton="0" quotePrefix="0" xfId="0"/>
    <xf numFmtId="169" fontId="9" fillId="2" borderId="0" pivotButton="0" quotePrefix="0" xfId="0"/>
    <xf numFmtId="170" fontId="7" fillId="0" borderId="0" pivotButton="0" quotePrefix="0" xfId="0"/>
    <xf numFmtId="164" fontId="7" fillId="0" borderId="0" pivotButton="0" quotePrefix="0" xfId="0"/>
    <xf numFmtId="0" fontId="7" fillId="0" borderId="0" pivotButton="0" quotePrefix="0" xfId="0"/>
    <xf numFmtId="0" fontId="8" fillId="0" borderId="1" pivotButton="0" quotePrefix="0" xfId="0"/>
    <xf numFmtId="0" fontId="8" fillId="0" borderId="1" applyAlignment="1" pivotButton="0" quotePrefix="0" xfId="0">
      <alignment horizontal="right"/>
    </xf>
    <xf numFmtId="168" fontId="7" fillId="0" borderId="0" pivotButton="0" quotePrefix="0" xfId="0"/>
    <xf numFmtId="169" fontId="9" fillId="0" borderId="0" pivotButton="0" quotePrefix="0" xfId="0"/>
    <xf numFmtId="167" fontId="7" fillId="0" borderId="0" pivotButton="0" quotePrefix="0" xfId="0"/>
    <xf numFmtId="3" fontId="9" fillId="0" borderId="0" pivotButton="0" quotePrefix="0" xfId="0"/>
    <xf numFmtId="166" fontId="7" fillId="0" borderId="0" pivotButton="0" quotePrefix="0" xfId="0"/>
    <xf numFmtId="0" fontId="2" fillId="0" borderId="1" pivotButton="0" quotePrefix="0" xfId="0"/>
    <xf numFmtId="49" fontId="7" fillId="0" borderId="1" pivotButton="0" quotePrefix="0" xfId="0"/>
    <xf numFmtId="169" fontId="7" fillId="0" borderId="1" pivotButton="0" quotePrefix="0" xfId="0"/>
    <xf numFmtId="164" fontId="7" fillId="0" borderId="1" pivotButton="0" quotePrefix="0" xfId="0"/>
    <xf numFmtId="164" fontId="5" fillId="0" borderId="1" pivotButton="0" quotePrefix="0" xfId="0"/>
    <xf numFmtId="169" fontId="5" fillId="0" borderId="1" pivotButton="0" quotePrefix="0" xfId="0"/>
    <xf numFmtId="3" fontId="7" fillId="0" borderId="1" pivotButton="0" quotePrefix="0" xfId="0"/>
    <xf numFmtId="0" fontId="6" fillId="0" borderId="0" pivotButton="0" quotePrefix="0" xfId="0"/>
    <xf numFmtId="0" fontId="8" fillId="0" borderId="0" pivotButton="0" quotePrefix="0" xfId="0"/>
    <xf numFmtId="0" fontId="3" fillId="0" borderId="1" pivotButton="0" quotePrefix="0" xfId="0"/>
    <xf numFmtId="0" fontId="4" fillId="0" borderId="1" pivotButton="0" quotePrefix="0" xfId="0"/>
    <xf numFmtId="0" fontId="4" fillId="0" borderId="0" applyAlignment="1" pivotButton="0" quotePrefix="0" xfId="0">
      <alignment wrapText="1"/>
    </xf>
    <xf numFmtId="168" fontId="5" fillId="0" borderId="0" pivotButton="0" quotePrefix="0" xfId="0"/>
    <xf numFmtId="0" fontId="3" fillId="0" borderId="1" applyAlignment="1" pivotButton="0" quotePrefix="0" xfId="0">
      <alignment vertical="top" wrapText="1"/>
    </xf>
    <xf numFmtId="0" fontId="4"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showGridLines="0" workbookViewId="0">
      <selection activeCell="A1" sqref="A1"/>
    </sheetView>
  </sheetViews>
  <sheetFormatPr baseColWidth="8" defaultRowHeight="15"/>
  <cols>
    <col width="26" customWidth="1" min="1" max="1"/>
    <col width="104" customWidth="1" min="2" max="2"/>
  </cols>
  <sheetData>
    <row r="1" ht="15" customHeight="1">
      <c r="A1" s="1" t="inlineStr">
        <is>
          <t>SAVRN · Imperial Valley CO₂-to-Graphene</t>
        </is>
      </c>
      <c r="B1" s="2" t="inlineStr">
        <is>
          <t>Financial model</t>
        </is>
      </c>
    </row>
    <row r="2" ht="15" customHeight="1">
      <c r="A2" s="3" t="inlineStr">
        <is>
          <t>Basis</t>
        </is>
      </c>
      <c r="B2" s="4" t="inlineStr">
        <is>
          <t>850,000 t/yr biogenic CO₂ captured from the biomass plant at Mesquite Lake Energy Park, Imperial Valley, CA.</t>
        </is>
      </c>
    </row>
    <row r="3">
      <c r="A3" s="3" t="inlineStr"/>
      <c r="B3" s="4" t="inlineStr"/>
    </row>
    <row r="4" ht="26" customHeight="1">
      <c r="A4" s="3" t="inlineStr">
        <is>
          <t>What this model does</t>
        </is>
      </c>
      <c r="B4" s="5" t="inlineStr">
        <is>
          <t>Sizes the plant from the CO₂ stream, then splits the business into two revenue engines that behave differently:</t>
        </is>
      </c>
    </row>
    <row r="5" ht="39" customHeight="1">
      <c r="A5" s="3" t="inlineStr">
        <is>
          <t xml:space="preserve">  Engine 1 · CO₂</t>
        </is>
      </c>
      <c r="B5" s="4" t="inlineStr">
        <is>
          <t>Every tonne of captured CO₂ earns §45Q, whether it is converted to graphene (utilization tier) or injected (sequestration tier). This engine is volume-certain: it depends on capture and injection running, not on selling graphene.</t>
        </is>
      </c>
    </row>
    <row r="6" ht="39" customHeight="1">
      <c r="A6" s="3" t="inlineStr">
        <is>
          <t xml:space="preserve">  Engine 2 · Graphene</t>
        </is>
      </c>
      <c r="B6" s="4" t="inlineStr">
        <is>
          <t>Carbon converted to graphene and sold. This engine is demand-gated. The published industry record is that producers with 100+ t/yr of capacity book under $1M of revenue, so tonnage is modeled off signed offtake, never off nameplate.</t>
        </is>
      </c>
    </row>
    <row r="7">
      <c r="A7" s="3" t="inlineStr"/>
      <c r="B7" s="4" t="inlineStr"/>
    </row>
    <row r="8" ht="26" customHeight="1">
      <c r="A8" s="3" t="inlineStr">
        <is>
          <t>Why three cases</t>
        </is>
      </c>
      <c r="B8" s="5" t="inlineStr">
        <is>
          <t>The two source pages disagree about volume by three orders of magnitude, and the model does not paper over it.</t>
        </is>
      </c>
    </row>
    <row r="9" ht="26" customHeight="1">
      <c r="A9" s="3" t="inlineStr">
        <is>
          <t xml:space="preserve">  A · Strategy ramp</t>
        </is>
      </c>
      <c r="B9" s="4" t="inlineStr">
        <is>
          <t>The go-to-market page's own published ramp: 1–3 t in year 1 rising to 120–150 t/yr at year 5, then extended on the same growth logic. This is the offtake-gated case.</t>
        </is>
      </c>
    </row>
    <row r="10" ht="26" customHeight="1">
      <c r="A10" s="3" t="inlineStr">
        <is>
          <t xml:space="preserve">  B · Anchor adoption</t>
        </is>
      </c>
      <c r="B10" s="4" t="inlineStr">
        <is>
          <t>Volume that the published anchor references support if the segment deals are won: the asphalt platform reference is 75,000 t/yr of additive treating 2.5M t of asphalt, and concrete admixture dosing is 2.0 L/m³.</t>
        </is>
      </c>
    </row>
    <row r="11" ht="26" customHeight="1">
      <c r="A11" s="3" t="inlineStr">
        <is>
          <t xml:space="preserve">  C · Capacity envelope</t>
        </is>
      </c>
      <c r="B11" s="4" t="inlineStr">
        <is>
          <t>The sizing model's own build path, 50 kt then 100 kt then 180 kt/yr. This is the physical envelope of the plant, not a demand forecast.</t>
        </is>
      </c>
    </row>
    <row r="12">
      <c r="A12" s="3" t="inlineStr"/>
      <c r="B12" s="4" t="inlineStr"/>
    </row>
    <row r="13" ht="26" customHeight="1">
      <c r="A13" s="3" t="inlineStr">
        <is>
          <t>How to use it</t>
        </is>
      </c>
      <c r="B13" s="5" t="inlineStr">
        <is>
          <t>Change the blue input cells on Assumptions. Every other tab is formulas and reflows. Case selection is cell Assumptions!B4.</t>
        </is>
      </c>
    </row>
    <row r="14" ht="26" customHeight="1">
      <c r="A14" s="3" t="inlineStr">
        <is>
          <t>Tabs</t>
        </is>
      </c>
      <c r="B14" s="4" t="inlineStr">
        <is>
          <t>Assumptions · Mass Balance · Capacity &amp; Capex · Revenue Ramp · Credits · Opex · P&amp;L · Cash Flow 25yr · Returns · Sensitivity · Sources</t>
        </is>
      </c>
    </row>
    <row r="15">
      <c r="A15" s="3" t="inlineStr"/>
      <c r="B15" s="4" t="inlineStr"/>
    </row>
    <row r="16" ht="26" customHeight="1">
      <c r="A16" s="3" t="inlineStr">
        <is>
          <t>Sources</t>
        </is>
      </c>
      <c r="B16" s="4" t="inlineStr">
        <is>
          <t>P1 = savrnplatform.com/p/co2-to-graphene · P2 = savrnplatform.com/p/graphene-strategy. Every assumption carries its source. Items marked "model" are introduced here and are not on either page.</t>
        </is>
      </c>
    </row>
    <row r="17" ht="26" customHeight="1">
      <c r="A17" s="3" t="inlineStr">
        <is>
          <t>Estimate class</t>
        </is>
      </c>
      <c r="B17" s="4" t="inlineStr">
        <is>
          <t>AACE Class 5, order-of-magnitude (−50% / +100%). Not a FEED or FEL-1 estimate. Not an offer to sell a security and not tax advice; §45Q eligibility requires a tax opinion.</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A15"/>
  <sheetViews>
    <sheetView showGridLines="0" workbookViewId="0">
      <selection activeCell="A1" sqref="A1"/>
    </sheetView>
  </sheetViews>
  <sheetFormatPr baseColWidth="8" defaultRowHeight="15"/>
  <cols>
    <col width="42" customWidth="1" min="1" max="1"/>
    <col width="12"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s>
  <sheetData>
    <row r="1">
      <c r="A1" s="1" t="inlineStr">
        <is>
          <t>Profit and loss</t>
        </is>
      </c>
    </row>
    <row r="2">
      <c r="A2" s="6" t="inlineStr">
        <is>
          <t>Revenue, cost, EBITDA and net income. EBITDA is before depreciation, interest and tax; the cost lines above already carry royalty, formulation and SG&amp;A.</t>
        </is>
      </c>
    </row>
    <row r="4">
      <c r="A4" s="9" t="n"/>
      <c r="B4" s="29" t="inlineStr">
        <is>
          <t>Unit</t>
        </is>
      </c>
      <c r="C4" s="30" t="inlineStr">
        <is>
          <t>Y1</t>
        </is>
      </c>
      <c r="D4" s="30" t="inlineStr">
        <is>
          <t>Y2</t>
        </is>
      </c>
      <c r="E4" s="30" t="inlineStr">
        <is>
          <t>Y3</t>
        </is>
      </c>
      <c r="F4" s="30" t="inlineStr">
        <is>
          <t>Y4</t>
        </is>
      </c>
      <c r="G4" s="30" t="inlineStr">
        <is>
          <t>Y5</t>
        </is>
      </c>
      <c r="H4" s="30" t="inlineStr">
        <is>
          <t>Y6</t>
        </is>
      </c>
      <c r="I4" s="30" t="inlineStr">
        <is>
          <t>Y7</t>
        </is>
      </c>
      <c r="J4" s="30" t="inlineStr">
        <is>
          <t>Y8</t>
        </is>
      </c>
      <c r="K4" s="30" t="inlineStr">
        <is>
          <t>Y9</t>
        </is>
      </c>
      <c r="L4" s="30" t="inlineStr">
        <is>
          <t>Y10</t>
        </is>
      </c>
      <c r="M4" s="30" t="inlineStr">
        <is>
          <t>Y11</t>
        </is>
      </c>
      <c r="N4" s="30" t="inlineStr">
        <is>
          <t>Y12</t>
        </is>
      </c>
      <c r="O4" s="30" t="inlineStr">
        <is>
          <t>Y13</t>
        </is>
      </c>
      <c r="P4" s="30" t="inlineStr">
        <is>
          <t>Y14</t>
        </is>
      </c>
      <c r="Q4" s="30" t="inlineStr">
        <is>
          <t>Y15</t>
        </is>
      </c>
      <c r="R4" s="30" t="inlineStr">
        <is>
          <t>Y16</t>
        </is>
      </c>
      <c r="S4" s="30" t="inlineStr">
        <is>
          <t>Y17</t>
        </is>
      </c>
      <c r="T4" s="30" t="inlineStr">
        <is>
          <t>Y18</t>
        </is>
      </c>
      <c r="U4" s="30" t="inlineStr">
        <is>
          <t>Y19</t>
        </is>
      </c>
      <c r="V4" s="30" t="inlineStr">
        <is>
          <t>Y20</t>
        </is>
      </c>
      <c r="W4" s="30" t="inlineStr">
        <is>
          <t>Y21</t>
        </is>
      </c>
      <c r="X4" s="30" t="inlineStr">
        <is>
          <t>Y22</t>
        </is>
      </c>
      <c r="Y4" s="30" t="inlineStr">
        <is>
          <t>Y23</t>
        </is>
      </c>
      <c r="Z4" s="30" t="inlineStr">
        <is>
          <t>Y24</t>
        </is>
      </c>
      <c r="AA4" s="30" t="inlineStr">
        <is>
          <t>Y25</t>
        </is>
      </c>
    </row>
    <row r="6">
      <c r="A6" s="10" t="inlineStr">
        <is>
          <t>Graphene revenue</t>
        </is>
      </c>
      <c r="B6" s="6" t="inlineStr">
        <is>
          <t>$</t>
        </is>
      </c>
      <c r="C6" s="22">
        <f>'Revenue Ramp'!C8</f>
        <v/>
      </c>
      <c r="D6" s="22">
        <f>'Revenue Ramp'!D8</f>
        <v/>
      </c>
      <c r="E6" s="22">
        <f>'Revenue Ramp'!E8</f>
        <v/>
      </c>
      <c r="F6" s="22">
        <f>'Revenue Ramp'!F8</f>
        <v/>
      </c>
      <c r="G6" s="22">
        <f>'Revenue Ramp'!G8</f>
        <v/>
      </c>
      <c r="H6" s="22">
        <f>'Revenue Ramp'!H8</f>
        <v/>
      </c>
      <c r="I6" s="22">
        <f>'Revenue Ramp'!I8</f>
        <v/>
      </c>
      <c r="J6" s="22">
        <f>'Revenue Ramp'!J8</f>
        <v/>
      </c>
      <c r="K6" s="22">
        <f>'Revenue Ramp'!K8</f>
        <v/>
      </c>
      <c r="L6" s="22">
        <f>'Revenue Ramp'!L8</f>
        <v/>
      </c>
      <c r="M6" s="22">
        <f>'Revenue Ramp'!M8</f>
        <v/>
      </c>
      <c r="N6" s="22">
        <f>'Revenue Ramp'!N8</f>
        <v/>
      </c>
      <c r="O6" s="22">
        <f>'Revenue Ramp'!O8</f>
        <v/>
      </c>
      <c r="P6" s="22">
        <f>'Revenue Ramp'!P8</f>
        <v/>
      </c>
      <c r="Q6" s="22">
        <f>'Revenue Ramp'!Q8</f>
        <v/>
      </c>
      <c r="R6" s="22">
        <f>'Revenue Ramp'!R8</f>
        <v/>
      </c>
      <c r="S6" s="22">
        <f>'Revenue Ramp'!S8</f>
        <v/>
      </c>
      <c r="T6" s="22">
        <f>'Revenue Ramp'!T8</f>
        <v/>
      </c>
      <c r="U6" s="22">
        <f>'Revenue Ramp'!U8</f>
        <v/>
      </c>
      <c r="V6" s="22">
        <f>'Revenue Ramp'!V8</f>
        <v/>
      </c>
      <c r="W6" s="22">
        <f>'Revenue Ramp'!W8</f>
        <v/>
      </c>
      <c r="X6" s="22">
        <f>'Revenue Ramp'!X8</f>
        <v/>
      </c>
      <c r="Y6" s="22">
        <f>'Revenue Ramp'!Y8</f>
        <v/>
      </c>
      <c r="Z6" s="22">
        <f>'Revenue Ramp'!Z8</f>
        <v/>
      </c>
      <c r="AA6" s="22">
        <f>'Revenue Ramp'!AA8</f>
        <v/>
      </c>
    </row>
    <row r="7">
      <c r="A7" s="10" t="inlineStr">
        <is>
          <t>§45Q and coproduct</t>
        </is>
      </c>
      <c r="B7" s="6" t="inlineStr">
        <is>
          <t>$</t>
        </is>
      </c>
      <c r="C7" s="22">
        <f>Credits!C15</f>
        <v/>
      </c>
      <c r="D7" s="22">
        <f>Credits!D15</f>
        <v/>
      </c>
      <c r="E7" s="22">
        <f>Credits!E15</f>
        <v/>
      </c>
      <c r="F7" s="22">
        <f>Credits!F15</f>
        <v/>
      </c>
      <c r="G7" s="22">
        <f>Credits!G15</f>
        <v/>
      </c>
      <c r="H7" s="22">
        <f>Credits!H15</f>
        <v/>
      </c>
      <c r="I7" s="22">
        <f>Credits!I15</f>
        <v/>
      </c>
      <c r="J7" s="22">
        <f>Credits!J15</f>
        <v/>
      </c>
      <c r="K7" s="22">
        <f>Credits!K15</f>
        <v/>
      </c>
      <c r="L7" s="22">
        <f>Credits!L15</f>
        <v/>
      </c>
      <c r="M7" s="22">
        <f>Credits!M15</f>
        <v/>
      </c>
      <c r="N7" s="22">
        <f>Credits!N15</f>
        <v/>
      </c>
      <c r="O7" s="22">
        <f>Credits!O15</f>
        <v/>
      </c>
      <c r="P7" s="22">
        <f>Credits!P15</f>
        <v/>
      </c>
      <c r="Q7" s="22">
        <f>Credits!Q15</f>
        <v/>
      </c>
      <c r="R7" s="22">
        <f>Credits!R15</f>
        <v/>
      </c>
      <c r="S7" s="22">
        <f>Credits!S15</f>
        <v/>
      </c>
      <c r="T7" s="22">
        <f>Credits!T15</f>
        <v/>
      </c>
      <c r="U7" s="22">
        <f>Credits!U15</f>
        <v/>
      </c>
      <c r="V7" s="22">
        <f>Credits!V15</f>
        <v/>
      </c>
      <c r="W7" s="22">
        <f>Credits!W15</f>
        <v/>
      </c>
      <c r="X7" s="22">
        <f>Credits!X15</f>
        <v/>
      </c>
      <c r="Y7" s="22">
        <f>Credits!Y15</f>
        <v/>
      </c>
      <c r="Z7" s="22">
        <f>Credits!Z15</f>
        <v/>
      </c>
      <c r="AA7" s="22">
        <f>Credits!AA15</f>
        <v/>
      </c>
    </row>
    <row r="8">
      <c r="A8" s="3" t="inlineStr">
        <is>
          <t>Total revenue</t>
        </is>
      </c>
      <c r="B8" s="6" t="inlineStr">
        <is>
          <t>$</t>
        </is>
      </c>
      <c r="C8" s="32">
        <f>C6+C7</f>
        <v/>
      </c>
      <c r="D8" s="32">
        <f>D6+D7</f>
        <v/>
      </c>
      <c r="E8" s="32">
        <f>E6+E7</f>
        <v/>
      </c>
      <c r="F8" s="32">
        <f>F6+F7</f>
        <v/>
      </c>
      <c r="G8" s="32">
        <f>G6+G7</f>
        <v/>
      </c>
      <c r="H8" s="32">
        <f>H6+H7</f>
        <v/>
      </c>
      <c r="I8" s="32">
        <f>I6+I7</f>
        <v/>
      </c>
      <c r="J8" s="32">
        <f>J6+J7</f>
        <v/>
      </c>
      <c r="K8" s="32">
        <f>K6+K7</f>
        <v/>
      </c>
      <c r="L8" s="32">
        <f>L6+L7</f>
        <v/>
      </c>
      <c r="M8" s="32">
        <f>M6+M7</f>
        <v/>
      </c>
      <c r="N8" s="32">
        <f>N6+N7</f>
        <v/>
      </c>
      <c r="O8" s="32">
        <f>O6+O7</f>
        <v/>
      </c>
      <c r="P8" s="32">
        <f>P6+P7</f>
        <v/>
      </c>
      <c r="Q8" s="32">
        <f>Q6+Q7</f>
        <v/>
      </c>
      <c r="R8" s="32">
        <f>R6+R7</f>
        <v/>
      </c>
      <c r="S8" s="32">
        <f>S6+S7</f>
        <v/>
      </c>
      <c r="T8" s="32">
        <f>T6+T7</f>
        <v/>
      </c>
      <c r="U8" s="32">
        <f>U6+U7</f>
        <v/>
      </c>
      <c r="V8" s="32">
        <f>V6+V7</f>
        <v/>
      </c>
      <c r="W8" s="32">
        <f>W6+W7</f>
        <v/>
      </c>
      <c r="X8" s="32">
        <f>X6+X7</f>
        <v/>
      </c>
      <c r="Y8" s="32">
        <f>Y6+Y7</f>
        <v/>
      </c>
      <c r="Z8" s="32">
        <f>Z6+Z7</f>
        <v/>
      </c>
      <c r="AA8" s="32">
        <f>AA6+AA7</f>
        <v/>
      </c>
    </row>
    <row r="9">
      <c r="A9" s="10" t="inlineStr">
        <is>
          <t>Operating cost</t>
        </is>
      </c>
      <c r="B9" s="6" t="inlineStr">
        <is>
          <t>$</t>
        </is>
      </c>
      <c r="C9" s="22">
        <f>-Opex!C14</f>
        <v/>
      </c>
      <c r="D9" s="22">
        <f>-Opex!D14</f>
        <v/>
      </c>
      <c r="E9" s="22">
        <f>-Opex!E14</f>
        <v/>
      </c>
      <c r="F9" s="22">
        <f>-Opex!F14</f>
        <v/>
      </c>
      <c r="G9" s="22">
        <f>-Opex!G14</f>
        <v/>
      </c>
      <c r="H9" s="22">
        <f>-Opex!H14</f>
        <v/>
      </c>
      <c r="I9" s="22">
        <f>-Opex!I14</f>
        <v/>
      </c>
      <c r="J9" s="22">
        <f>-Opex!J14</f>
        <v/>
      </c>
      <c r="K9" s="22">
        <f>-Opex!K14</f>
        <v/>
      </c>
      <c r="L9" s="22">
        <f>-Opex!L14</f>
        <v/>
      </c>
      <c r="M9" s="22">
        <f>-Opex!M14</f>
        <v/>
      </c>
      <c r="N9" s="22">
        <f>-Opex!N14</f>
        <v/>
      </c>
      <c r="O9" s="22">
        <f>-Opex!O14</f>
        <v/>
      </c>
      <c r="P9" s="22">
        <f>-Opex!P14</f>
        <v/>
      </c>
      <c r="Q9" s="22">
        <f>-Opex!Q14</f>
        <v/>
      </c>
      <c r="R9" s="22">
        <f>-Opex!R14</f>
        <v/>
      </c>
      <c r="S9" s="22">
        <f>-Opex!S14</f>
        <v/>
      </c>
      <c r="T9" s="22">
        <f>-Opex!T14</f>
        <v/>
      </c>
      <c r="U9" s="22">
        <f>-Opex!U14</f>
        <v/>
      </c>
      <c r="V9" s="22">
        <f>-Opex!V14</f>
        <v/>
      </c>
      <c r="W9" s="22">
        <f>-Opex!W14</f>
        <v/>
      </c>
      <c r="X9" s="22">
        <f>-Opex!X14</f>
        <v/>
      </c>
      <c r="Y9" s="22">
        <f>-Opex!Y14</f>
        <v/>
      </c>
      <c r="Z9" s="22">
        <f>-Opex!Z14</f>
        <v/>
      </c>
      <c r="AA9" s="22">
        <f>-Opex!AA14</f>
        <v/>
      </c>
    </row>
    <row r="10">
      <c r="A10" s="3" t="inlineStr">
        <is>
          <t>EBITDA</t>
        </is>
      </c>
      <c r="B10" s="6" t="inlineStr">
        <is>
          <t>$</t>
        </is>
      </c>
      <c r="C10" s="25">
        <f>C8+C9</f>
        <v/>
      </c>
      <c r="D10" s="25">
        <f>D8+D9</f>
        <v/>
      </c>
      <c r="E10" s="25">
        <f>E8+E9</f>
        <v/>
      </c>
      <c r="F10" s="25">
        <f>F8+F9</f>
        <v/>
      </c>
      <c r="G10" s="25">
        <f>G8+G9</f>
        <v/>
      </c>
      <c r="H10" s="25">
        <f>H8+H9</f>
        <v/>
      </c>
      <c r="I10" s="25">
        <f>I8+I9</f>
        <v/>
      </c>
      <c r="J10" s="25">
        <f>J8+J9</f>
        <v/>
      </c>
      <c r="K10" s="25">
        <f>K8+K9</f>
        <v/>
      </c>
      <c r="L10" s="25">
        <f>L8+L9</f>
        <v/>
      </c>
      <c r="M10" s="25">
        <f>M8+M9</f>
        <v/>
      </c>
      <c r="N10" s="25">
        <f>N8+N9</f>
        <v/>
      </c>
      <c r="O10" s="25">
        <f>O8+O9</f>
        <v/>
      </c>
      <c r="P10" s="25">
        <f>P8+P9</f>
        <v/>
      </c>
      <c r="Q10" s="25">
        <f>Q8+Q9</f>
        <v/>
      </c>
      <c r="R10" s="25">
        <f>R8+R9</f>
        <v/>
      </c>
      <c r="S10" s="25">
        <f>S8+S9</f>
        <v/>
      </c>
      <c r="T10" s="25">
        <f>T8+T9</f>
        <v/>
      </c>
      <c r="U10" s="25">
        <f>U8+U9</f>
        <v/>
      </c>
      <c r="V10" s="25">
        <f>V8+V9</f>
        <v/>
      </c>
      <c r="W10" s="25">
        <f>W8+W9</f>
        <v/>
      </c>
      <c r="X10" s="25">
        <f>X8+X9</f>
        <v/>
      </c>
      <c r="Y10" s="25">
        <f>Y8+Y9</f>
        <v/>
      </c>
      <c r="Z10" s="25">
        <f>Z8+Z9</f>
        <v/>
      </c>
      <c r="AA10" s="25">
        <f>AA8+AA9</f>
        <v/>
      </c>
    </row>
    <row r="11">
      <c r="A11" s="10" t="inlineStr">
        <is>
          <t>EBITDA margin</t>
        </is>
      </c>
      <c r="B11" s="6" t="inlineStr"/>
      <c r="C11" s="27">
        <f>IFERROR(C10/C8,0)</f>
        <v/>
      </c>
      <c r="D11" s="27">
        <f>IFERROR(D10/D8,0)</f>
        <v/>
      </c>
      <c r="E11" s="27">
        <f>IFERROR(E10/E8,0)</f>
        <v/>
      </c>
      <c r="F11" s="27">
        <f>IFERROR(F10/F8,0)</f>
        <v/>
      </c>
      <c r="G11" s="27">
        <f>IFERROR(G10/G8,0)</f>
        <v/>
      </c>
      <c r="H11" s="27">
        <f>IFERROR(H10/H8,0)</f>
        <v/>
      </c>
      <c r="I11" s="27">
        <f>IFERROR(I10/I8,0)</f>
        <v/>
      </c>
      <c r="J11" s="27">
        <f>IFERROR(J10/J8,0)</f>
        <v/>
      </c>
      <c r="K11" s="27">
        <f>IFERROR(K10/K8,0)</f>
        <v/>
      </c>
      <c r="L11" s="27">
        <f>IFERROR(L10/L8,0)</f>
        <v/>
      </c>
      <c r="M11" s="27">
        <f>IFERROR(M10/M8,0)</f>
        <v/>
      </c>
      <c r="N11" s="27">
        <f>IFERROR(N10/N8,0)</f>
        <v/>
      </c>
      <c r="O11" s="27">
        <f>IFERROR(O10/O8,0)</f>
        <v/>
      </c>
      <c r="P11" s="27">
        <f>IFERROR(P10/P8,0)</f>
        <v/>
      </c>
      <c r="Q11" s="27">
        <f>IFERROR(Q10/Q8,0)</f>
        <v/>
      </c>
      <c r="R11" s="27">
        <f>IFERROR(R10/R8,0)</f>
        <v/>
      </c>
      <c r="S11" s="27">
        <f>IFERROR(S10/S8,0)</f>
        <v/>
      </c>
      <c r="T11" s="27">
        <f>IFERROR(T10/T8,0)</f>
        <v/>
      </c>
      <c r="U11" s="27">
        <f>IFERROR(U10/U8,0)</f>
        <v/>
      </c>
      <c r="V11" s="27">
        <f>IFERROR(V10/V8,0)</f>
        <v/>
      </c>
      <c r="W11" s="27">
        <f>IFERROR(W10/W8,0)</f>
        <v/>
      </c>
      <c r="X11" s="27">
        <f>IFERROR(X10/X8,0)</f>
        <v/>
      </c>
      <c r="Y11" s="27">
        <f>IFERROR(Y10/Y8,0)</f>
        <v/>
      </c>
      <c r="Z11" s="27">
        <f>IFERROR(Z10/Z8,0)</f>
        <v/>
      </c>
      <c r="AA11" s="27">
        <f>IFERROR(AA10/AA8,0)</f>
        <v/>
      </c>
    </row>
    <row r="12">
      <c r="A12" s="10" t="inlineStr">
        <is>
          <t>Depreciation</t>
        </is>
      </c>
      <c r="B12" s="6" t="inlineStr">
        <is>
          <t>$</t>
        </is>
      </c>
      <c r="C12" s="22">
        <f>-MIN('Capacity &amp; Capex'!C15/Assumptions!$B$60,'Capacity &amp; Capex'!C15/Assumptions!$B$60)</f>
        <v/>
      </c>
      <c r="D12" s="22">
        <f>-MIN('Capacity &amp; Capex'!D15/Assumptions!$B$60,'Capacity &amp; Capex'!D15/Assumptions!$B$60)</f>
        <v/>
      </c>
      <c r="E12" s="22">
        <f>-MIN('Capacity &amp; Capex'!E15/Assumptions!$B$60,'Capacity &amp; Capex'!E15/Assumptions!$B$60)</f>
        <v/>
      </c>
      <c r="F12" s="22">
        <f>-MIN('Capacity &amp; Capex'!F15/Assumptions!$B$60,'Capacity &amp; Capex'!F15/Assumptions!$B$60)</f>
        <v/>
      </c>
      <c r="G12" s="22">
        <f>-MIN('Capacity &amp; Capex'!G15/Assumptions!$B$60,'Capacity &amp; Capex'!G15/Assumptions!$B$60)</f>
        <v/>
      </c>
      <c r="H12" s="22">
        <f>-MIN('Capacity &amp; Capex'!H15/Assumptions!$B$60,'Capacity &amp; Capex'!H15/Assumptions!$B$60)</f>
        <v/>
      </c>
      <c r="I12" s="22">
        <f>-MIN('Capacity &amp; Capex'!I15/Assumptions!$B$60,'Capacity &amp; Capex'!I15/Assumptions!$B$60)</f>
        <v/>
      </c>
      <c r="J12" s="22">
        <f>-MIN('Capacity &amp; Capex'!J15/Assumptions!$B$60,'Capacity &amp; Capex'!J15/Assumptions!$B$60)</f>
        <v/>
      </c>
      <c r="K12" s="22">
        <f>-MIN('Capacity &amp; Capex'!K15/Assumptions!$B$60,'Capacity &amp; Capex'!K15/Assumptions!$B$60)</f>
        <v/>
      </c>
      <c r="L12" s="22">
        <f>-MIN('Capacity &amp; Capex'!L15/Assumptions!$B$60,'Capacity &amp; Capex'!L15/Assumptions!$B$60)</f>
        <v/>
      </c>
      <c r="M12" s="22">
        <f>-MIN('Capacity &amp; Capex'!M15/Assumptions!$B$60,'Capacity &amp; Capex'!M15/Assumptions!$B$60)</f>
        <v/>
      </c>
      <c r="N12" s="22">
        <f>-MIN('Capacity &amp; Capex'!N15/Assumptions!$B$60,'Capacity &amp; Capex'!N15/Assumptions!$B$60)</f>
        <v/>
      </c>
      <c r="O12" s="22">
        <f>-MIN('Capacity &amp; Capex'!O15/Assumptions!$B$60,'Capacity &amp; Capex'!O15/Assumptions!$B$60)</f>
        <v/>
      </c>
      <c r="P12" s="22">
        <f>-MIN('Capacity &amp; Capex'!P15/Assumptions!$B$60,'Capacity &amp; Capex'!P15/Assumptions!$B$60)</f>
        <v/>
      </c>
      <c r="Q12" s="22">
        <f>-MIN('Capacity &amp; Capex'!Q15/Assumptions!$B$60,'Capacity &amp; Capex'!Q15/Assumptions!$B$60)</f>
        <v/>
      </c>
      <c r="R12" s="22">
        <f>-MIN('Capacity &amp; Capex'!R15/Assumptions!$B$60,'Capacity &amp; Capex'!R15/Assumptions!$B$60)</f>
        <v/>
      </c>
      <c r="S12" s="22">
        <f>-MIN('Capacity &amp; Capex'!S15/Assumptions!$B$60,'Capacity &amp; Capex'!S15/Assumptions!$B$60)</f>
        <v/>
      </c>
      <c r="T12" s="22">
        <f>-MIN('Capacity &amp; Capex'!T15/Assumptions!$B$60,'Capacity &amp; Capex'!T15/Assumptions!$B$60)</f>
        <v/>
      </c>
      <c r="U12" s="22">
        <f>-MIN('Capacity &amp; Capex'!U15/Assumptions!$B$60,'Capacity &amp; Capex'!U15/Assumptions!$B$60)</f>
        <v/>
      </c>
      <c r="V12" s="22">
        <f>-MIN('Capacity &amp; Capex'!V15/Assumptions!$B$60,'Capacity &amp; Capex'!V15/Assumptions!$B$60)</f>
        <v/>
      </c>
      <c r="W12" s="22">
        <f>-MIN('Capacity &amp; Capex'!W15/Assumptions!$B$60,'Capacity &amp; Capex'!W15/Assumptions!$B$60)</f>
        <v/>
      </c>
      <c r="X12" s="22">
        <f>-MIN('Capacity &amp; Capex'!X15/Assumptions!$B$60,'Capacity &amp; Capex'!X15/Assumptions!$B$60)</f>
        <v/>
      </c>
      <c r="Y12" s="22">
        <f>-MIN('Capacity &amp; Capex'!Y15/Assumptions!$B$60,'Capacity &amp; Capex'!Y15/Assumptions!$B$60)</f>
        <v/>
      </c>
      <c r="Z12" s="22">
        <f>-MIN('Capacity &amp; Capex'!Z15/Assumptions!$B$60,'Capacity &amp; Capex'!Z15/Assumptions!$B$60)</f>
        <v/>
      </c>
      <c r="AA12" s="22">
        <f>-MIN('Capacity &amp; Capex'!AA15/Assumptions!$B$60,'Capacity &amp; Capex'!AA15/Assumptions!$B$60)</f>
        <v/>
      </c>
    </row>
    <row r="13">
      <c r="A13" s="10" t="inlineStr">
        <is>
          <t>EBIT</t>
        </is>
      </c>
      <c r="B13" s="6" t="inlineStr">
        <is>
          <t>$</t>
        </is>
      </c>
      <c r="C13" s="22">
        <f>C10+C12</f>
        <v/>
      </c>
      <c r="D13" s="22">
        <f>D10+D12</f>
        <v/>
      </c>
      <c r="E13" s="22">
        <f>E10+E12</f>
        <v/>
      </c>
      <c r="F13" s="22">
        <f>F10+F12</f>
        <v/>
      </c>
      <c r="G13" s="22">
        <f>G10+G12</f>
        <v/>
      </c>
      <c r="H13" s="22">
        <f>H10+H12</f>
        <v/>
      </c>
      <c r="I13" s="22">
        <f>I10+I12</f>
        <v/>
      </c>
      <c r="J13" s="22">
        <f>J10+J12</f>
        <v/>
      </c>
      <c r="K13" s="22">
        <f>K10+K12</f>
        <v/>
      </c>
      <c r="L13" s="22">
        <f>L10+L12</f>
        <v/>
      </c>
      <c r="M13" s="22">
        <f>M10+M12</f>
        <v/>
      </c>
      <c r="N13" s="22">
        <f>N10+N12</f>
        <v/>
      </c>
      <c r="O13" s="22">
        <f>O10+O12</f>
        <v/>
      </c>
      <c r="P13" s="22">
        <f>P10+P12</f>
        <v/>
      </c>
      <c r="Q13" s="22">
        <f>Q10+Q12</f>
        <v/>
      </c>
      <c r="R13" s="22">
        <f>R10+R12</f>
        <v/>
      </c>
      <c r="S13" s="22">
        <f>S10+S12</f>
        <v/>
      </c>
      <c r="T13" s="22">
        <f>T10+T12</f>
        <v/>
      </c>
      <c r="U13" s="22">
        <f>U10+U12</f>
        <v/>
      </c>
      <c r="V13" s="22">
        <f>V10+V12</f>
        <v/>
      </c>
      <c r="W13" s="22">
        <f>W10+W12</f>
        <v/>
      </c>
      <c r="X13" s="22">
        <f>X10+X12</f>
        <v/>
      </c>
      <c r="Y13" s="22">
        <f>Y10+Y12</f>
        <v/>
      </c>
      <c r="Z13" s="22">
        <f>Z10+Z12</f>
        <v/>
      </c>
      <c r="AA13" s="22">
        <f>AA10+AA12</f>
        <v/>
      </c>
    </row>
    <row r="14">
      <c r="A14" s="10" t="inlineStr">
        <is>
          <t>Cash tax</t>
        </is>
      </c>
      <c r="B14" s="6" t="inlineStr">
        <is>
          <t>$</t>
        </is>
      </c>
      <c r="C14" s="22">
        <f>-MAX(0,C13)*Assumptions!$B$59</f>
        <v/>
      </c>
      <c r="D14" s="22">
        <f>-MAX(0,D13)*Assumptions!$B$59</f>
        <v/>
      </c>
      <c r="E14" s="22">
        <f>-MAX(0,E13)*Assumptions!$B$59</f>
        <v/>
      </c>
      <c r="F14" s="22">
        <f>-MAX(0,F13)*Assumptions!$B$59</f>
        <v/>
      </c>
      <c r="G14" s="22">
        <f>-MAX(0,G13)*Assumptions!$B$59</f>
        <v/>
      </c>
      <c r="H14" s="22">
        <f>-MAX(0,H13)*Assumptions!$B$59</f>
        <v/>
      </c>
      <c r="I14" s="22">
        <f>-MAX(0,I13)*Assumptions!$B$59</f>
        <v/>
      </c>
      <c r="J14" s="22">
        <f>-MAX(0,J13)*Assumptions!$B$59</f>
        <v/>
      </c>
      <c r="K14" s="22">
        <f>-MAX(0,K13)*Assumptions!$B$59</f>
        <v/>
      </c>
      <c r="L14" s="22">
        <f>-MAX(0,L13)*Assumptions!$B$59</f>
        <v/>
      </c>
      <c r="M14" s="22">
        <f>-MAX(0,M13)*Assumptions!$B$59</f>
        <v/>
      </c>
      <c r="N14" s="22">
        <f>-MAX(0,N13)*Assumptions!$B$59</f>
        <v/>
      </c>
      <c r="O14" s="22">
        <f>-MAX(0,O13)*Assumptions!$B$59</f>
        <v/>
      </c>
      <c r="P14" s="22">
        <f>-MAX(0,P13)*Assumptions!$B$59</f>
        <v/>
      </c>
      <c r="Q14" s="22">
        <f>-MAX(0,Q13)*Assumptions!$B$59</f>
        <v/>
      </c>
      <c r="R14" s="22">
        <f>-MAX(0,R13)*Assumptions!$B$59</f>
        <v/>
      </c>
      <c r="S14" s="22">
        <f>-MAX(0,S13)*Assumptions!$B$59</f>
        <v/>
      </c>
      <c r="T14" s="22">
        <f>-MAX(0,T13)*Assumptions!$B$59</f>
        <v/>
      </c>
      <c r="U14" s="22">
        <f>-MAX(0,U13)*Assumptions!$B$59</f>
        <v/>
      </c>
      <c r="V14" s="22">
        <f>-MAX(0,V13)*Assumptions!$B$59</f>
        <v/>
      </c>
      <c r="W14" s="22">
        <f>-MAX(0,W13)*Assumptions!$B$59</f>
        <v/>
      </c>
      <c r="X14" s="22">
        <f>-MAX(0,X13)*Assumptions!$B$59</f>
        <v/>
      </c>
      <c r="Y14" s="22">
        <f>-MAX(0,Y13)*Assumptions!$B$59</f>
        <v/>
      </c>
      <c r="Z14" s="22">
        <f>-MAX(0,Z13)*Assumptions!$B$59</f>
        <v/>
      </c>
      <c r="AA14" s="22">
        <f>-MAX(0,AA13)*Assumptions!$B$59</f>
        <v/>
      </c>
    </row>
    <row r="15">
      <c r="A15" s="3" t="inlineStr">
        <is>
          <t>Net income</t>
        </is>
      </c>
      <c r="B15" s="6" t="inlineStr">
        <is>
          <t>$</t>
        </is>
      </c>
      <c r="C15" s="32">
        <f>C13+C14</f>
        <v/>
      </c>
      <c r="D15" s="32">
        <f>D13+D14</f>
        <v/>
      </c>
      <c r="E15" s="32">
        <f>E13+E14</f>
        <v/>
      </c>
      <c r="F15" s="32">
        <f>F13+F14</f>
        <v/>
      </c>
      <c r="G15" s="32">
        <f>G13+G14</f>
        <v/>
      </c>
      <c r="H15" s="32">
        <f>H13+H14</f>
        <v/>
      </c>
      <c r="I15" s="32">
        <f>I13+I14</f>
        <v/>
      </c>
      <c r="J15" s="32">
        <f>J13+J14</f>
        <v/>
      </c>
      <c r="K15" s="32">
        <f>K13+K14</f>
        <v/>
      </c>
      <c r="L15" s="32">
        <f>L13+L14</f>
        <v/>
      </c>
      <c r="M15" s="32">
        <f>M13+M14</f>
        <v/>
      </c>
      <c r="N15" s="32">
        <f>N13+N14</f>
        <v/>
      </c>
      <c r="O15" s="32">
        <f>O13+O14</f>
        <v/>
      </c>
      <c r="P15" s="32">
        <f>P13+P14</f>
        <v/>
      </c>
      <c r="Q15" s="32">
        <f>Q13+Q14</f>
        <v/>
      </c>
      <c r="R15" s="32">
        <f>R13+R14</f>
        <v/>
      </c>
      <c r="S15" s="32">
        <f>S13+S14</f>
        <v/>
      </c>
      <c r="T15" s="32">
        <f>T13+T14</f>
        <v/>
      </c>
      <c r="U15" s="32">
        <f>U13+U14</f>
        <v/>
      </c>
      <c r="V15" s="32">
        <f>V13+V14</f>
        <v/>
      </c>
      <c r="W15" s="32">
        <f>W13+W14</f>
        <v/>
      </c>
      <c r="X15" s="32">
        <f>X13+X14</f>
        <v/>
      </c>
      <c r="Y15" s="32">
        <f>Y13+Y14</f>
        <v/>
      </c>
      <c r="Z15" s="32">
        <f>Z13+Z14</f>
        <v/>
      </c>
      <c r="AA15" s="32">
        <f>AA13+AA14</f>
        <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A13"/>
  <sheetViews>
    <sheetView showGridLines="0" workbookViewId="0">
      <selection activeCell="A1" sqref="A1"/>
    </sheetView>
  </sheetViews>
  <sheetFormatPr baseColWidth="8" defaultRowHeight="15"/>
  <cols>
    <col width="42" customWidth="1" min="1" max="1"/>
    <col width="12"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s>
  <sheetData>
    <row r="1">
      <c r="A1" s="1" t="inlineStr">
        <is>
          <t>Unlevered cash flow</t>
        </is>
      </c>
    </row>
    <row r="2">
      <c r="A2" s="6" t="inlineStr">
        <is>
          <t>All-equity. Maintenance capex is a percentage of gross capital in service.</t>
        </is>
      </c>
    </row>
    <row r="4">
      <c r="A4" s="9" t="n"/>
      <c r="B4" s="29" t="inlineStr">
        <is>
          <t>Unit</t>
        </is>
      </c>
      <c r="C4" s="30" t="inlineStr">
        <is>
          <t>Y1</t>
        </is>
      </c>
      <c r="D4" s="30" t="inlineStr">
        <is>
          <t>Y2</t>
        </is>
      </c>
      <c r="E4" s="30" t="inlineStr">
        <is>
          <t>Y3</t>
        </is>
      </c>
      <c r="F4" s="30" t="inlineStr">
        <is>
          <t>Y4</t>
        </is>
      </c>
      <c r="G4" s="30" t="inlineStr">
        <is>
          <t>Y5</t>
        </is>
      </c>
      <c r="H4" s="30" t="inlineStr">
        <is>
          <t>Y6</t>
        </is>
      </c>
      <c r="I4" s="30" t="inlineStr">
        <is>
          <t>Y7</t>
        </is>
      </c>
      <c r="J4" s="30" t="inlineStr">
        <is>
          <t>Y8</t>
        </is>
      </c>
      <c r="K4" s="30" t="inlineStr">
        <is>
          <t>Y9</t>
        </is>
      </c>
      <c r="L4" s="30" t="inlineStr">
        <is>
          <t>Y10</t>
        </is>
      </c>
      <c r="M4" s="30" t="inlineStr">
        <is>
          <t>Y11</t>
        </is>
      </c>
      <c r="N4" s="30" t="inlineStr">
        <is>
          <t>Y12</t>
        </is>
      </c>
      <c r="O4" s="30" t="inlineStr">
        <is>
          <t>Y13</t>
        </is>
      </c>
      <c r="P4" s="30" t="inlineStr">
        <is>
          <t>Y14</t>
        </is>
      </c>
      <c r="Q4" s="30" t="inlineStr">
        <is>
          <t>Y15</t>
        </is>
      </c>
      <c r="R4" s="30" t="inlineStr">
        <is>
          <t>Y16</t>
        </is>
      </c>
      <c r="S4" s="30" t="inlineStr">
        <is>
          <t>Y17</t>
        </is>
      </c>
      <c r="T4" s="30" t="inlineStr">
        <is>
          <t>Y18</t>
        </is>
      </c>
      <c r="U4" s="30" t="inlineStr">
        <is>
          <t>Y19</t>
        </is>
      </c>
      <c r="V4" s="30" t="inlineStr">
        <is>
          <t>Y20</t>
        </is>
      </c>
      <c r="W4" s="30" t="inlineStr">
        <is>
          <t>Y21</t>
        </is>
      </c>
      <c r="X4" s="30" t="inlineStr">
        <is>
          <t>Y22</t>
        </is>
      </c>
      <c r="Y4" s="30" t="inlineStr">
        <is>
          <t>Y23</t>
        </is>
      </c>
      <c r="Z4" s="30" t="inlineStr">
        <is>
          <t>Y24</t>
        </is>
      </c>
      <c r="AA4" s="30" t="inlineStr">
        <is>
          <t>Y25</t>
        </is>
      </c>
    </row>
    <row r="6">
      <c r="A6" s="10" t="inlineStr">
        <is>
          <t>EBITDA</t>
        </is>
      </c>
      <c r="B6" s="6" t="inlineStr">
        <is>
          <t>$</t>
        </is>
      </c>
      <c r="C6" s="22">
        <f>'P&amp;L'!C10</f>
        <v/>
      </c>
      <c r="D6" s="22">
        <f>'P&amp;L'!D10</f>
        <v/>
      </c>
      <c r="E6" s="22">
        <f>'P&amp;L'!E10</f>
        <v/>
      </c>
      <c r="F6" s="22">
        <f>'P&amp;L'!F10</f>
        <v/>
      </c>
      <c r="G6" s="22">
        <f>'P&amp;L'!G10</f>
        <v/>
      </c>
      <c r="H6" s="22">
        <f>'P&amp;L'!H10</f>
        <v/>
      </c>
      <c r="I6" s="22">
        <f>'P&amp;L'!I10</f>
        <v/>
      </c>
      <c r="J6" s="22">
        <f>'P&amp;L'!J10</f>
        <v/>
      </c>
      <c r="K6" s="22">
        <f>'P&amp;L'!K10</f>
        <v/>
      </c>
      <c r="L6" s="22">
        <f>'P&amp;L'!L10</f>
        <v/>
      </c>
      <c r="M6" s="22">
        <f>'P&amp;L'!M10</f>
        <v/>
      </c>
      <c r="N6" s="22">
        <f>'P&amp;L'!N10</f>
        <v/>
      </c>
      <c r="O6" s="22">
        <f>'P&amp;L'!O10</f>
        <v/>
      </c>
      <c r="P6" s="22">
        <f>'P&amp;L'!P10</f>
        <v/>
      </c>
      <c r="Q6" s="22">
        <f>'P&amp;L'!Q10</f>
        <v/>
      </c>
      <c r="R6" s="22">
        <f>'P&amp;L'!R10</f>
        <v/>
      </c>
      <c r="S6" s="22">
        <f>'P&amp;L'!S10</f>
        <v/>
      </c>
      <c r="T6" s="22">
        <f>'P&amp;L'!T10</f>
        <v/>
      </c>
      <c r="U6" s="22">
        <f>'P&amp;L'!U10</f>
        <v/>
      </c>
      <c r="V6" s="22">
        <f>'P&amp;L'!V10</f>
        <v/>
      </c>
      <c r="W6" s="22">
        <f>'P&amp;L'!W10</f>
        <v/>
      </c>
      <c r="X6" s="22">
        <f>'P&amp;L'!X10</f>
        <v/>
      </c>
      <c r="Y6" s="22">
        <f>'P&amp;L'!Y10</f>
        <v/>
      </c>
      <c r="Z6" s="22">
        <f>'P&amp;L'!Z10</f>
        <v/>
      </c>
      <c r="AA6" s="22">
        <f>'P&amp;L'!AA10</f>
        <v/>
      </c>
    </row>
    <row r="7">
      <c r="A7" s="10" t="inlineStr">
        <is>
          <t>Cash tax</t>
        </is>
      </c>
      <c r="B7" s="6" t="inlineStr">
        <is>
          <t>$</t>
        </is>
      </c>
      <c r="C7" s="22">
        <f>'P&amp;L'!C14</f>
        <v/>
      </c>
      <c r="D7" s="22">
        <f>'P&amp;L'!D14</f>
        <v/>
      </c>
      <c r="E7" s="22">
        <f>'P&amp;L'!E14</f>
        <v/>
      </c>
      <c r="F7" s="22">
        <f>'P&amp;L'!F14</f>
        <v/>
      </c>
      <c r="G7" s="22">
        <f>'P&amp;L'!G14</f>
        <v/>
      </c>
      <c r="H7" s="22">
        <f>'P&amp;L'!H14</f>
        <v/>
      </c>
      <c r="I7" s="22">
        <f>'P&amp;L'!I14</f>
        <v/>
      </c>
      <c r="J7" s="22">
        <f>'P&amp;L'!J14</f>
        <v/>
      </c>
      <c r="K7" s="22">
        <f>'P&amp;L'!K14</f>
        <v/>
      </c>
      <c r="L7" s="22">
        <f>'P&amp;L'!L14</f>
        <v/>
      </c>
      <c r="M7" s="22">
        <f>'P&amp;L'!M14</f>
        <v/>
      </c>
      <c r="N7" s="22">
        <f>'P&amp;L'!N14</f>
        <v/>
      </c>
      <c r="O7" s="22">
        <f>'P&amp;L'!O14</f>
        <v/>
      </c>
      <c r="P7" s="22">
        <f>'P&amp;L'!P14</f>
        <v/>
      </c>
      <c r="Q7" s="22">
        <f>'P&amp;L'!Q14</f>
        <v/>
      </c>
      <c r="R7" s="22">
        <f>'P&amp;L'!R14</f>
        <v/>
      </c>
      <c r="S7" s="22">
        <f>'P&amp;L'!S14</f>
        <v/>
      </c>
      <c r="T7" s="22">
        <f>'P&amp;L'!T14</f>
        <v/>
      </c>
      <c r="U7" s="22">
        <f>'P&amp;L'!U14</f>
        <v/>
      </c>
      <c r="V7" s="22">
        <f>'P&amp;L'!V14</f>
        <v/>
      </c>
      <c r="W7" s="22">
        <f>'P&amp;L'!W14</f>
        <v/>
      </c>
      <c r="X7" s="22">
        <f>'P&amp;L'!X14</f>
        <v/>
      </c>
      <c r="Y7" s="22">
        <f>'P&amp;L'!Y14</f>
        <v/>
      </c>
      <c r="Z7" s="22">
        <f>'P&amp;L'!Z14</f>
        <v/>
      </c>
      <c r="AA7" s="22">
        <f>'P&amp;L'!AA14</f>
        <v/>
      </c>
    </row>
    <row r="8">
      <c r="A8" s="10" t="inlineStr">
        <is>
          <t>Growth capital</t>
        </is>
      </c>
      <c r="B8" s="6" t="inlineStr">
        <is>
          <t>$</t>
        </is>
      </c>
      <c r="C8" s="22">
        <f>-'Capacity &amp; Capex'!C14</f>
        <v/>
      </c>
      <c r="D8" s="22">
        <f>-'Capacity &amp; Capex'!D14</f>
        <v/>
      </c>
      <c r="E8" s="22">
        <f>-'Capacity &amp; Capex'!E14</f>
        <v/>
      </c>
      <c r="F8" s="22">
        <f>-'Capacity &amp; Capex'!F14</f>
        <v/>
      </c>
      <c r="G8" s="22">
        <f>-'Capacity &amp; Capex'!G14</f>
        <v/>
      </c>
      <c r="H8" s="22">
        <f>-'Capacity &amp; Capex'!H14</f>
        <v/>
      </c>
      <c r="I8" s="22">
        <f>-'Capacity &amp; Capex'!I14</f>
        <v/>
      </c>
      <c r="J8" s="22">
        <f>-'Capacity &amp; Capex'!J14</f>
        <v/>
      </c>
      <c r="K8" s="22">
        <f>-'Capacity &amp; Capex'!K14</f>
        <v/>
      </c>
      <c r="L8" s="22">
        <f>-'Capacity &amp; Capex'!L14</f>
        <v/>
      </c>
      <c r="M8" s="22">
        <f>-'Capacity &amp; Capex'!M14</f>
        <v/>
      </c>
      <c r="N8" s="22">
        <f>-'Capacity &amp; Capex'!N14</f>
        <v/>
      </c>
      <c r="O8" s="22">
        <f>-'Capacity &amp; Capex'!O14</f>
        <v/>
      </c>
      <c r="P8" s="22">
        <f>-'Capacity &amp; Capex'!P14</f>
        <v/>
      </c>
      <c r="Q8" s="22">
        <f>-'Capacity &amp; Capex'!Q14</f>
        <v/>
      </c>
      <c r="R8" s="22">
        <f>-'Capacity &amp; Capex'!R14</f>
        <v/>
      </c>
      <c r="S8" s="22">
        <f>-'Capacity &amp; Capex'!S14</f>
        <v/>
      </c>
      <c r="T8" s="22">
        <f>-'Capacity &amp; Capex'!T14</f>
        <v/>
      </c>
      <c r="U8" s="22">
        <f>-'Capacity &amp; Capex'!U14</f>
        <v/>
      </c>
      <c r="V8" s="22">
        <f>-'Capacity &amp; Capex'!V14</f>
        <v/>
      </c>
      <c r="W8" s="22">
        <f>-'Capacity &amp; Capex'!W14</f>
        <v/>
      </c>
      <c r="X8" s="22">
        <f>-'Capacity &amp; Capex'!X14</f>
        <v/>
      </c>
      <c r="Y8" s="22">
        <f>-'Capacity &amp; Capex'!Y14</f>
        <v/>
      </c>
      <c r="Z8" s="22">
        <f>-'Capacity &amp; Capex'!Z14</f>
        <v/>
      </c>
      <c r="AA8" s="22">
        <f>-'Capacity &amp; Capex'!AA14</f>
        <v/>
      </c>
    </row>
    <row r="9">
      <c r="A9" s="10" t="inlineStr">
        <is>
          <t>Maintenance capital</t>
        </is>
      </c>
      <c r="B9" s="6" t="inlineStr">
        <is>
          <t>$</t>
        </is>
      </c>
      <c r="C9" s="22">
        <f>-'Capacity &amp; Capex'!C15*Assumptions!$B$43</f>
        <v/>
      </c>
      <c r="D9" s="22">
        <f>-'Capacity &amp; Capex'!D15*Assumptions!$B$43</f>
        <v/>
      </c>
      <c r="E9" s="22">
        <f>-'Capacity &amp; Capex'!E15*Assumptions!$B$43</f>
        <v/>
      </c>
      <c r="F9" s="22">
        <f>-'Capacity &amp; Capex'!F15*Assumptions!$B$43</f>
        <v/>
      </c>
      <c r="G9" s="22">
        <f>-'Capacity &amp; Capex'!G15*Assumptions!$B$43</f>
        <v/>
      </c>
      <c r="H9" s="22">
        <f>-'Capacity &amp; Capex'!H15*Assumptions!$B$43</f>
        <v/>
      </c>
      <c r="I9" s="22">
        <f>-'Capacity &amp; Capex'!I15*Assumptions!$B$43</f>
        <v/>
      </c>
      <c r="J9" s="22">
        <f>-'Capacity &amp; Capex'!J15*Assumptions!$B$43</f>
        <v/>
      </c>
      <c r="K9" s="22">
        <f>-'Capacity &amp; Capex'!K15*Assumptions!$B$43</f>
        <v/>
      </c>
      <c r="L9" s="22">
        <f>-'Capacity &amp; Capex'!L15*Assumptions!$B$43</f>
        <v/>
      </c>
      <c r="M9" s="22">
        <f>-'Capacity &amp; Capex'!M15*Assumptions!$B$43</f>
        <v/>
      </c>
      <c r="N9" s="22">
        <f>-'Capacity &amp; Capex'!N15*Assumptions!$B$43</f>
        <v/>
      </c>
      <c r="O9" s="22">
        <f>-'Capacity &amp; Capex'!O15*Assumptions!$B$43</f>
        <v/>
      </c>
      <c r="P9" s="22">
        <f>-'Capacity &amp; Capex'!P15*Assumptions!$B$43</f>
        <v/>
      </c>
      <c r="Q9" s="22">
        <f>-'Capacity &amp; Capex'!Q15*Assumptions!$B$43</f>
        <v/>
      </c>
      <c r="R9" s="22">
        <f>-'Capacity &amp; Capex'!R15*Assumptions!$B$43</f>
        <v/>
      </c>
      <c r="S9" s="22">
        <f>-'Capacity &amp; Capex'!S15*Assumptions!$B$43</f>
        <v/>
      </c>
      <c r="T9" s="22">
        <f>-'Capacity &amp; Capex'!T15*Assumptions!$B$43</f>
        <v/>
      </c>
      <c r="U9" s="22">
        <f>-'Capacity &amp; Capex'!U15*Assumptions!$B$43</f>
        <v/>
      </c>
      <c r="V9" s="22">
        <f>-'Capacity &amp; Capex'!V15*Assumptions!$B$43</f>
        <v/>
      </c>
      <c r="W9" s="22">
        <f>-'Capacity &amp; Capex'!W15*Assumptions!$B$43</f>
        <v/>
      </c>
      <c r="X9" s="22">
        <f>-'Capacity &amp; Capex'!X15*Assumptions!$B$43</f>
        <v/>
      </c>
      <c r="Y9" s="22">
        <f>-'Capacity &amp; Capex'!Y15*Assumptions!$B$43</f>
        <v/>
      </c>
      <c r="Z9" s="22">
        <f>-'Capacity &amp; Capex'!Z15*Assumptions!$B$43</f>
        <v/>
      </c>
      <c r="AA9" s="22">
        <f>-'Capacity &amp; Capex'!AA15*Assumptions!$B$43</f>
        <v/>
      </c>
    </row>
    <row r="10">
      <c r="A10" s="3" t="inlineStr">
        <is>
          <t>Unlevered free cash flow</t>
        </is>
      </c>
      <c r="B10" s="6" t="inlineStr">
        <is>
          <t>$</t>
        </is>
      </c>
      <c r="C10" s="25">
        <f>C6+C7+C8+C9</f>
        <v/>
      </c>
      <c r="D10" s="25">
        <f>D6+D7+D8+D9</f>
        <v/>
      </c>
      <c r="E10" s="25">
        <f>E6+E7+E8+E9</f>
        <v/>
      </c>
      <c r="F10" s="25">
        <f>F6+F7+F8+F9</f>
        <v/>
      </c>
      <c r="G10" s="25">
        <f>G6+G7+G8+G9</f>
        <v/>
      </c>
      <c r="H10" s="25">
        <f>H6+H7+H8+H9</f>
        <v/>
      </c>
      <c r="I10" s="25">
        <f>I6+I7+I8+I9</f>
        <v/>
      </c>
      <c r="J10" s="25">
        <f>J6+J7+J8+J9</f>
        <v/>
      </c>
      <c r="K10" s="25">
        <f>K6+K7+K8+K9</f>
        <v/>
      </c>
      <c r="L10" s="25">
        <f>L6+L7+L8+L9</f>
        <v/>
      </c>
      <c r="M10" s="25">
        <f>M6+M7+M8+M9</f>
        <v/>
      </c>
      <c r="N10" s="25">
        <f>N6+N7+N8+N9</f>
        <v/>
      </c>
      <c r="O10" s="25">
        <f>O6+O7+O8+O9</f>
        <v/>
      </c>
      <c r="P10" s="25">
        <f>P6+P7+P8+P9</f>
        <v/>
      </c>
      <c r="Q10" s="25">
        <f>Q6+Q7+Q8+Q9</f>
        <v/>
      </c>
      <c r="R10" s="25">
        <f>R6+R7+R8+R9</f>
        <v/>
      </c>
      <c r="S10" s="25">
        <f>S6+S7+S8+S9</f>
        <v/>
      </c>
      <c r="T10" s="25">
        <f>T6+T7+T8+T9</f>
        <v/>
      </c>
      <c r="U10" s="25">
        <f>U6+U7+U8+U9</f>
        <v/>
      </c>
      <c r="V10" s="25">
        <f>V6+V7+V8+V9</f>
        <v/>
      </c>
      <c r="W10" s="25">
        <f>W6+W7+W8+W9</f>
        <v/>
      </c>
      <c r="X10" s="25">
        <f>X6+X7+X8+X9</f>
        <v/>
      </c>
      <c r="Y10" s="25">
        <f>Y6+Y7+Y8+Y9</f>
        <v/>
      </c>
      <c r="Z10" s="25">
        <f>Z6+Z7+Z8+Z9</f>
        <v/>
      </c>
      <c r="AA10" s="25">
        <f>AA6+AA7+AA8+AA9</f>
        <v/>
      </c>
    </row>
    <row r="11">
      <c r="A11" s="10" t="inlineStr">
        <is>
          <t>Cumulative free cash flow</t>
        </is>
      </c>
      <c r="B11" s="6" t="inlineStr">
        <is>
          <t>$</t>
        </is>
      </c>
      <c r="C11" s="22">
        <f>C10</f>
        <v/>
      </c>
      <c r="D11" s="22">
        <f>C11+D10</f>
        <v/>
      </c>
      <c r="E11" s="22">
        <f>D11+E10</f>
        <v/>
      </c>
      <c r="F11" s="22">
        <f>E11+F10</f>
        <v/>
      </c>
      <c r="G11" s="22">
        <f>F11+G10</f>
        <v/>
      </c>
      <c r="H11" s="22">
        <f>G11+H10</f>
        <v/>
      </c>
      <c r="I11" s="22">
        <f>H11+I10</f>
        <v/>
      </c>
      <c r="J11" s="22">
        <f>I11+J10</f>
        <v/>
      </c>
      <c r="K11" s="22">
        <f>J11+K10</f>
        <v/>
      </c>
      <c r="L11" s="22">
        <f>K11+L10</f>
        <v/>
      </c>
      <c r="M11" s="22">
        <f>L11+M10</f>
        <v/>
      </c>
      <c r="N11" s="22">
        <f>M11+N10</f>
        <v/>
      </c>
      <c r="O11" s="22">
        <f>N11+O10</f>
        <v/>
      </c>
      <c r="P11" s="22">
        <f>O11+P10</f>
        <v/>
      </c>
      <c r="Q11" s="22">
        <f>P11+Q10</f>
        <v/>
      </c>
      <c r="R11" s="22">
        <f>Q11+R10</f>
        <v/>
      </c>
      <c r="S11" s="22">
        <f>R11+S10</f>
        <v/>
      </c>
      <c r="T11" s="22">
        <f>S11+T10</f>
        <v/>
      </c>
      <c r="U11" s="22">
        <f>T11+U10</f>
        <v/>
      </c>
      <c r="V11" s="22">
        <f>U11+V10</f>
        <v/>
      </c>
      <c r="W11" s="22">
        <f>V11+W10</f>
        <v/>
      </c>
      <c r="X11" s="22">
        <f>W11+X10</f>
        <v/>
      </c>
      <c r="Y11" s="22">
        <f>X11+Y10</f>
        <v/>
      </c>
      <c r="Z11" s="22">
        <f>Y11+Z10</f>
        <v/>
      </c>
      <c r="AA11" s="22">
        <f>Z11+AA10</f>
        <v/>
      </c>
    </row>
    <row r="12">
      <c r="A12" s="10" t="inlineStr">
        <is>
          <t>Discount factor</t>
        </is>
      </c>
      <c r="B12" s="6" t="inlineStr"/>
      <c r="C12" s="35">
        <f>1/(1+Assumptions!$B$58)^1</f>
        <v/>
      </c>
      <c r="D12" s="35">
        <f>1/(1+Assumptions!$B$58)^2</f>
        <v/>
      </c>
      <c r="E12" s="35">
        <f>1/(1+Assumptions!$B$58)^3</f>
        <v/>
      </c>
      <c r="F12" s="35">
        <f>1/(1+Assumptions!$B$58)^4</f>
        <v/>
      </c>
      <c r="G12" s="35">
        <f>1/(1+Assumptions!$B$58)^5</f>
        <v/>
      </c>
      <c r="H12" s="35">
        <f>1/(1+Assumptions!$B$58)^6</f>
        <v/>
      </c>
      <c r="I12" s="35">
        <f>1/(1+Assumptions!$B$58)^7</f>
        <v/>
      </c>
      <c r="J12" s="35">
        <f>1/(1+Assumptions!$B$58)^8</f>
        <v/>
      </c>
      <c r="K12" s="35">
        <f>1/(1+Assumptions!$B$58)^9</f>
        <v/>
      </c>
      <c r="L12" s="35">
        <f>1/(1+Assumptions!$B$58)^10</f>
        <v/>
      </c>
      <c r="M12" s="35">
        <f>1/(1+Assumptions!$B$58)^11</f>
        <v/>
      </c>
      <c r="N12" s="35">
        <f>1/(1+Assumptions!$B$58)^12</f>
        <v/>
      </c>
      <c r="O12" s="35">
        <f>1/(1+Assumptions!$B$58)^13</f>
        <v/>
      </c>
      <c r="P12" s="35">
        <f>1/(1+Assumptions!$B$58)^14</f>
        <v/>
      </c>
      <c r="Q12" s="35">
        <f>1/(1+Assumptions!$B$58)^15</f>
        <v/>
      </c>
      <c r="R12" s="35">
        <f>1/(1+Assumptions!$B$58)^16</f>
        <v/>
      </c>
      <c r="S12" s="35">
        <f>1/(1+Assumptions!$B$58)^17</f>
        <v/>
      </c>
      <c r="T12" s="35">
        <f>1/(1+Assumptions!$B$58)^18</f>
        <v/>
      </c>
      <c r="U12" s="35">
        <f>1/(1+Assumptions!$B$58)^19</f>
        <v/>
      </c>
      <c r="V12" s="35">
        <f>1/(1+Assumptions!$B$58)^20</f>
        <v/>
      </c>
      <c r="W12" s="35">
        <f>1/(1+Assumptions!$B$58)^21</f>
        <v/>
      </c>
      <c r="X12" s="35">
        <f>1/(1+Assumptions!$B$58)^22</f>
        <v/>
      </c>
      <c r="Y12" s="35">
        <f>1/(1+Assumptions!$B$58)^23</f>
        <v/>
      </c>
      <c r="Z12" s="35">
        <f>1/(1+Assumptions!$B$58)^24</f>
        <v/>
      </c>
      <c r="AA12" s="35">
        <f>1/(1+Assumptions!$B$58)^25</f>
        <v/>
      </c>
    </row>
    <row r="13">
      <c r="A13" s="10" t="inlineStr">
        <is>
          <t>Discounted free cash flow</t>
        </is>
      </c>
      <c r="B13" s="6" t="inlineStr">
        <is>
          <t>$</t>
        </is>
      </c>
      <c r="C13" s="22">
        <f>C10*C12</f>
        <v/>
      </c>
      <c r="D13" s="22">
        <f>D10*D12</f>
        <v/>
      </c>
      <c r="E13" s="22">
        <f>E10*E12</f>
        <v/>
      </c>
      <c r="F13" s="22">
        <f>F10*F12</f>
        <v/>
      </c>
      <c r="G13" s="22">
        <f>G10*G12</f>
        <v/>
      </c>
      <c r="H13" s="22">
        <f>H10*H12</f>
        <v/>
      </c>
      <c r="I13" s="22">
        <f>I10*I12</f>
        <v/>
      </c>
      <c r="J13" s="22">
        <f>J10*J12</f>
        <v/>
      </c>
      <c r="K13" s="22">
        <f>K10*K12</f>
        <v/>
      </c>
      <c r="L13" s="22">
        <f>L10*L12</f>
        <v/>
      </c>
      <c r="M13" s="22">
        <f>M10*M12</f>
        <v/>
      </c>
      <c r="N13" s="22">
        <f>N10*N12</f>
        <v/>
      </c>
      <c r="O13" s="22">
        <f>O10*O12</f>
        <v/>
      </c>
      <c r="P13" s="22">
        <f>P10*P12</f>
        <v/>
      </c>
      <c r="Q13" s="22">
        <f>Q10*Q12</f>
        <v/>
      </c>
      <c r="R13" s="22">
        <f>R10*R12</f>
        <v/>
      </c>
      <c r="S13" s="22">
        <f>S10*S12</f>
        <v/>
      </c>
      <c r="T13" s="22">
        <f>T10*T12</f>
        <v/>
      </c>
      <c r="U13" s="22">
        <f>U10*U12</f>
        <v/>
      </c>
      <c r="V13" s="22">
        <f>V10*V12</f>
        <v/>
      </c>
      <c r="W13" s="22">
        <f>W10*W12</f>
        <v/>
      </c>
      <c r="X13" s="22">
        <f>X10*X12</f>
        <v/>
      </c>
      <c r="Y13" s="22">
        <f>Y10*Y12</f>
        <v/>
      </c>
      <c r="Z13" s="22">
        <f>Z10*Z12</f>
        <v/>
      </c>
      <c r="AA13" s="22">
        <f>AA10*AA12</f>
        <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22"/>
  <sheetViews>
    <sheetView showGridLines="0" workbookViewId="0">
      <selection activeCell="A1" sqref="A1"/>
    </sheetView>
  </sheetViews>
  <sheetFormatPr baseColWidth="8" defaultRowHeight="15"/>
  <cols>
    <col width="46" customWidth="1" min="1" max="1"/>
    <col width="20" customWidth="1" min="2" max="2"/>
    <col width="14" customWidth="1" min="3" max="3"/>
    <col width="70" customWidth="1" min="4" max="4"/>
  </cols>
  <sheetData>
    <row r="1">
      <c r="A1" s="1" t="inlineStr">
        <is>
          <t>Returns</t>
        </is>
      </c>
    </row>
    <row r="2">
      <c r="A2" s="6" t="inlineStr">
        <is>
          <t>On the selected case. Change Assumptions!B4 to switch cases.</t>
        </is>
      </c>
    </row>
    <row r="4">
      <c r="A4" s="36" t="inlineStr">
        <is>
          <t>Case selected</t>
        </is>
      </c>
      <c r="B4" s="37">
        <f>Assumptions!$B$4</f>
        <v/>
      </c>
    </row>
    <row r="5">
      <c r="A5" s="36" t="inlineStr">
        <is>
          <t>Peak capital deployed</t>
        </is>
      </c>
      <c r="B5" s="38">
        <f>MAX('Capacity &amp; Capex'!C15:AA15)</f>
        <v/>
      </c>
    </row>
    <row r="6">
      <c r="A6" s="36" t="inlineStr">
        <is>
          <t>Peak cash shortfall (max cumulative negative)</t>
        </is>
      </c>
      <c r="B6" s="38">
        <f>MIN('Cash Flow 25yr'!C11:AA11)</f>
        <v/>
      </c>
    </row>
    <row r="7">
      <c r="A7" s="36" t="inlineStr">
        <is>
          <t>Revenue at year 10</t>
        </is>
      </c>
      <c r="B7" s="38">
        <f>'P&amp;L'!L8</f>
        <v/>
      </c>
    </row>
    <row r="8">
      <c r="A8" s="36" t="inlineStr">
        <is>
          <t>Revenue at year 25</t>
        </is>
      </c>
      <c r="B8" s="38">
        <f>'P&amp;L'!AA8</f>
        <v/>
      </c>
    </row>
    <row r="9">
      <c r="A9" s="36" t="inlineStr">
        <is>
          <t>EBITDA at year 10</t>
        </is>
      </c>
      <c r="B9" s="38">
        <f>'P&amp;L'!L10</f>
        <v/>
      </c>
    </row>
    <row r="10">
      <c r="A10" s="36" t="inlineStr">
        <is>
          <t>EBITDA at year 25</t>
        </is>
      </c>
      <c r="B10" s="38">
        <f>'P&amp;L'!AA10</f>
        <v/>
      </c>
    </row>
    <row r="11">
      <c r="A11" s="36" t="inlineStr">
        <is>
          <t>EBITDA margin at year 25</t>
        </is>
      </c>
      <c r="B11" s="39">
        <f>'P&amp;L'!AA11</f>
        <v/>
      </c>
    </row>
    <row r="12">
      <c r="A12" s="36" t="inlineStr">
        <is>
          <t>Project IRR (25-yr unlevered)</t>
        </is>
      </c>
      <c r="B12" s="40">
        <f>IFERROR(IRR('Cash Flow 25yr'!C10:AA10),"n.m.")</f>
        <v/>
      </c>
    </row>
    <row r="13">
      <c r="A13" s="36" t="inlineStr">
        <is>
          <t>NPV at the discount rate</t>
        </is>
      </c>
      <c r="B13" s="41">
        <f>SUM('Cash Flow 25yr'!C13:AA13)</f>
        <v/>
      </c>
    </row>
    <row r="14">
      <c r="A14" s="36" t="inlineStr">
        <is>
          <t>Total cash returned (undiscounted)</t>
        </is>
      </c>
      <c r="B14" s="38">
        <f>SUM('Cash Flow 25yr'!C10:AA10)</f>
        <v/>
      </c>
    </row>
    <row r="15">
      <c r="A15" s="36" t="inlineStr">
        <is>
          <t>Payback year (first year cumulative turns positive)</t>
        </is>
      </c>
      <c r="B15" s="42">
        <f>IFERROR(MATCH(TRUE,INDEX('Cash Flow 25yr'!C11:AA11&gt;0,0),0),"beyond 25 yr")</f>
        <v/>
      </c>
    </row>
    <row r="16">
      <c r="A16" s="36" t="inlineStr">
        <is>
          <t>§45Q cash over the credit period</t>
        </is>
      </c>
      <c r="B16" s="38">
        <f>SUM(Credits!C9:AA9)+SUM(Credits!C10:AA10)</f>
        <v/>
      </c>
    </row>
    <row r="17">
      <c r="A17" s="36" t="inlineStr">
        <is>
          <t>Graphene revenue over 25 years</t>
        </is>
      </c>
      <c r="B17" s="38">
        <f>SUM('P&amp;L'!C6:AA6)</f>
        <v/>
      </c>
    </row>
    <row r="19">
      <c r="A19" s="43" t="inlineStr">
        <is>
          <t>Read this first</t>
        </is>
      </c>
    </row>
    <row r="20" ht="30" customHeight="1">
      <c r="A20" s="4" t="inlineStr">
        <is>
          <t>The CO₂ engine carries the project. §45Q on 850,000 t/yr runs whether or not graphene sells, and it is the reason the plant can be built before the offtake exists.</t>
        </is>
      </c>
    </row>
    <row r="21" ht="30" customHeight="1">
      <c r="A21" s="4" t="inlineStr">
        <is>
          <t>Graphene revenue is gated by signed offtake, not by nameplate. Case A is the published ramp and stays small for years. Case B assumes the anchor segment deals land. Case C is the plant's physical envelope and is not a demand forecast.</t>
        </is>
      </c>
    </row>
    <row r="22" ht="30" customHeight="1">
      <c r="A22" s="4" t="inlineStr">
        <is>
          <t>If the case selected is C and the offtake is not contracted, the model is describing capacity, not revenue. That is the failure mode the strategy page documents.</t>
        </is>
      </c>
    </row>
  </sheetData>
  <mergeCells count="3">
    <mergeCell ref="A22:D22"/>
    <mergeCell ref="A20:D20"/>
    <mergeCell ref="A21:D2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3"/>
  <sheetViews>
    <sheetView showGridLines="0" workbookViewId="0">
      <selection activeCell="A1" sqref="A1"/>
    </sheetView>
  </sheetViews>
  <sheetFormatPr baseColWidth="8" defaultRowHeight="15"/>
  <cols>
    <col width="44" customWidth="1" min="1" max="1"/>
    <col width="18" customWidth="1" min="2" max="2"/>
    <col width="64" customWidth="1" min="3" max="3"/>
  </cols>
  <sheetData>
    <row r="1">
      <c r="A1" s="1" t="inlineStr">
        <is>
          <t>Sensitivity</t>
        </is>
      </c>
    </row>
    <row r="2">
      <c r="A2" s="6" t="inlineStr">
        <is>
          <t>Year-25 EBITDA against the two variables that decide the outcome. Values are computed live from the selected case.</t>
        </is>
      </c>
    </row>
    <row r="4">
      <c r="A4" s="44" t="inlineStr">
        <is>
          <t>Driver</t>
        </is>
      </c>
      <c r="B4" s="44" t="inlineStr">
        <is>
          <t>Year-25 EBITDA</t>
        </is>
      </c>
    </row>
    <row r="5">
      <c r="A5" s="45" t="inlineStr">
        <is>
          <t>As modeled</t>
        </is>
      </c>
      <c r="B5" s="38">
        <f>'P&amp;L'!AA10</f>
        <v/>
      </c>
      <c r="C5" s="46" t="inlineStr">
        <is>
          <t>selected case</t>
        </is>
      </c>
    </row>
    <row r="6">
      <c r="A6" s="45" t="inlineStr">
        <is>
          <t>If realized price is 25% lower</t>
        </is>
      </c>
      <c r="B6" s="38">
        <f>'P&amp;L'!AA10-'P&amp;L'!AA6*0.25*(1-Assumptions!$B$40-Assumptions!$B$42-Assumptions!$B$41)</f>
        <v/>
      </c>
      <c r="C6" s="46" t="inlineStr">
        <is>
          <t>price is the dominant driver at scale</t>
        </is>
      </c>
    </row>
    <row r="7">
      <c r="A7" s="45" t="inlineStr">
        <is>
          <t>If realized price is 25% higher</t>
        </is>
      </c>
      <c r="B7" s="38">
        <f>'P&amp;L'!AA10+'P&amp;L'!AA6*0.25*(1-Assumptions!$B$40-Assumptions!$B$42-Assumptions!$B$41)</f>
        <v/>
      </c>
      <c r="C7" s="46" t="inlineStr"/>
    </row>
    <row r="8">
      <c r="A8" s="45" t="inlineStr">
        <is>
          <t>If graphene never sells (CO₂ engine only)</t>
        </is>
      </c>
      <c r="B8" s="38">
        <f>Credits!AA15-Opex!AA6*0.35-Opex!AA8</f>
        <v/>
      </c>
      <c r="C8" s="46" t="inlineStr">
        <is>
          <t>§45Q on the full stream, capture power and injection only</t>
        </is>
      </c>
    </row>
    <row r="9">
      <c r="A9" s="45" t="inlineStr">
        <is>
          <t>If §45Q is denied</t>
        </is>
      </c>
      <c r="B9" s="38">
        <f>'P&amp;L'!AA10-Credits!AA9-Credits!AA10</f>
        <v/>
      </c>
      <c r="C9" s="46" t="inlineStr">
        <is>
          <t>the tax-opinion risk, quantified</t>
        </is>
      </c>
    </row>
    <row r="10">
      <c r="A10" s="45" t="inlineStr">
        <is>
          <t>If the LCFS pathway is not certified</t>
        </is>
      </c>
      <c r="B10" s="38">
        <f>'P&amp;L'!AA10-Credits!AA12</f>
        <v/>
      </c>
      <c r="C10" s="46" t="inlineStr">
        <is>
          <t>pathway risk</t>
        </is>
      </c>
    </row>
    <row r="11">
      <c r="A11" s="45" t="inlineStr">
        <is>
          <t>If no removal attribute is sold</t>
        </is>
      </c>
      <c r="B11" s="38">
        <f>'P&amp;L'!AA10-Credits!AA13</f>
        <v/>
      </c>
      <c r="C11" s="46" t="inlineStr">
        <is>
          <t>voluntary-market risk</t>
        </is>
      </c>
    </row>
    <row r="12">
      <c r="A12" s="45" t="inlineStr">
        <is>
          <t>§45Q only, no LCFS and no attribute</t>
        </is>
      </c>
      <c r="B12" s="38">
        <f>'P&amp;L'!AA10-Credits!AA12-Credits!AA13</f>
        <v/>
      </c>
      <c r="C12" s="46" t="inlineStr">
        <is>
          <t>the case the feasibility screen rejects</t>
        </is>
      </c>
    </row>
    <row r="13">
      <c r="A13" s="45" t="inlineStr">
        <is>
          <t>If power costs $90/MWh instead of $45</t>
        </is>
      </c>
      <c r="B13" s="38">
        <f>'P&amp;L'!AA10-'Mass Balance'!AA14*45</f>
        <v/>
      </c>
      <c r="C13" s="46" t="inlineStr">
        <is>
          <t>behind-the-meter power is the hedge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G27"/>
  <sheetViews>
    <sheetView showGridLines="0" workbookViewId="0">
      <selection activeCell="A1" sqref="A1"/>
    </sheetView>
  </sheetViews>
  <sheetFormatPr baseColWidth="8" defaultRowHeight="15"/>
  <cols>
    <col width="40" customWidth="1" min="1" max="1"/>
    <col width="15" customWidth="1" min="2" max="2"/>
    <col width="15" customWidth="1" min="3" max="3"/>
    <col width="15" customWidth="1" min="4" max="4"/>
    <col width="15" customWidth="1" min="5" max="5"/>
    <col width="15" customWidth="1" min="6" max="6"/>
    <col width="34" customWidth="1" min="7" max="7"/>
  </cols>
  <sheetData>
    <row r="1">
      <c r="A1" s="1" t="inlineStr">
        <is>
          <t>Does the CO₂ side stand on its own?</t>
        </is>
      </c>
    </row>
    <row r="2" ht="44" customHeight="1">
      <c r="A2" s="47" t="inlineStr">
        <is>
          <t>The graphene engine is demand-gated, so the first question is whether the capture project is financeable without it. This screen runs the CO₂ blocks alone: capture island, wells, substation, admin and contingency against the credit stack, with no graphene revenue and no conversion capital. It is computed from the same inputs as the rest of the workbook.</t>
        </is>
      </c>
    </row>
    <row r="4">
      <c r="A4" s="10" t="inlineStr">
        <is>
          <t>Capital, CO₂ blocks only</t>
        </is>
      </c>
      <c r="B4" s="32">
        <f>((Assumptions!$B$47+Assumptions!$B$48+Assumptions!$B$49+Assumptions!$B$50)*(1+Assumptions!$B$55))</f>
        <v/>
      </c>
      <c r="G4" s="6" t="inlineStr">
        <is>
          <t>capture and wells, substation, admin, contingency</t>
        </is>
      </c>
    </row>
    <row r="5">
      <c r="A5" s="10" t="inlineStr">
        <is>
          <t>Operating cost, CO₂ blocks only</t>
        </is>
      </c>
      <c r="B5" s="22">
        <f>(Assumptions!$B$7*Assumptions!$B$39+Assumptions!$B$7*Assumptions!$B$12*Assumptions!$B$15+Assumptions!$B$38+((Assumptions!$B$47+Assumptions!$B$48+Assumptions!$B$49+Assumptions!$B$50)*(1+Assumptions!$B$55))*Assumptions!$B$43)</f>
        <v/>
      </c>
      <c r="G5" s="6" t="inlineStr">
        <is>
          <t>injection, parasitic power, solvent, maintenance</t>
        </is>
      </c>
    </row>
    <row r="7">
      <c r="A7" s="29" t="inlineStr">
        <is>
          <t>Revenue stack</t>
        </is>
      </c>
      <c r="B7" s="29" t="inlineStr">
        <is>
          <t>Effective $/t</t>
        </is>
      </c>
      <c r="C7" s="29" t="inlineStr">
        <is>
          <t>Gross $/yr</t>
        </is>
      </c>
      <c r="D7" s="29" t="inlineStr">
        <is>
          <t>EBITDA $/yr</t>
        </is>
      </c>
      <c r="E7" s="29" t="inlineStr">
        <is>
          <t>NPV over the credit period</t>
        </is>
      </c>
      <c r="F7" s="29" t="inlineStr">
        <is>
          <t>Payback</t>
        </is>
      </c>
      <c r="G7" s="29" t="inlineStr">
        <is>
          <t>Feasible?</t>
        </is>
      </c>
    </row>
    <row r="8">
      <c r="A8" s="10" t="inlineStr">
        <is>
          <t>§45Q alone</t>
        </is>
      </c>
      <c r="B8" s="31">
        <f>Assumptions!$B$17*Assumptions!$B$19</f>
        <v/>
      </c>
      <c r="C8" s="22">
        <f>B8*Assumptions!$B$7</f>
        <v/>
      </c>
      <c r="D8" s="22">
        <f>C8-(Assumptions!$B$7*Assumptions!$B$39+Assumptions!$B$7*Assumptions!$B$12*Assumptions!$B$15+Assumptions!$B$38+((Assumptions!$B$47+Assumptions!$B$48+Assumptions!$B$49+Assumptions!$B$50)*(1+Assumptions!$B$55))*Assumptions!$B$43)</f>
        <v/>
      </c>
      <c r="E8" s="32">
        <f>-B4+D8*(1-(1+Assumptions!$B$58)^-Assumptions!$B$18)/Assumptions!$B$58</f>
        <v/>
      </c>
      <c r="F8" s="28">
        <f>IF(D8&lt;=0,"never",IF(B4/D8&gt;40,"never",ROUND(B4/D8,0)&amp;" yr"))</f>
        <v/>
      </c>
      <c r="G8" s="18">
        <f>IF(E8&gt;0,"yes",IF(E8&gt;-150000000,"close","no"))</f>
        <v/>
      </c>
    </row>
    <row r="9">
      <c r="A9" s="10" t="inlineStr">
        <is>
          <t>§45Q + LCFS base</t>
        </is>
      </c>
      <c r="B9" s="31">
        <f>Assumptions!$B$17*Assumptions!$B$19+Assumptions!$B$22</f>
        <v/>
      </c>
      <c r="C9" s="22">
        <f>B9*Assumptions!$B$7</f>
        <v/>
      </c>
      <c r="D9" s="22">
        <f>C9-(Assumptions!$B$7*Assumptions!$B$39+Assumptions!$B$7*Assumptions!$B$12*Assumptions!$B$15+Assumptions!$B$38+((Assumptions!$B$47+Assumptions!$B$48+Assumptions!$B$49+Assumptions!$B$50)*(1+Assumptions!$B$55))*Assumptions!$B$43)</f>
        <v/>
      </c>
      <c r="E9" s="32">
        <f>-B4+D9*(1-(1+Assumptions!$B$58)^-Assumptions!$B$18)/Assumptions!$B$58</f>
        <v/>
      </c>
      <c r="F9" s="28">
        <f>IF(D9&lt;=0,"never",IF(B4/D9&gt;40,"never",ROUND(B4/D9,0)&amp;" yr"))</f>
        <v/>
      </c>
      <c r="G9" s="18">
        <f>IF(E9&gt;0,"yes",IF(E9&gt;-150000000,"close","no"))</f>
        <v/>
      </c>
    </row>
    <row r="10">
      <c r="A10" s="10" t="inlineStr">
        <is>
          <t>§45Q + LCFS + removal attribute low ($50)</t>
        </is>
      </c>
      <c r="B10" s="31">
        <f>Assumptions!$B$17*Assumptions!$B$19+Assumptions!$B$22+50</f>
        <v/>
      </c>
      <c r="C10" s="22">
        <f>B10*Assumptions!$B$7</f>
        <v/>
      </c>
      <c r="D10" s="22">
        <f>C10-(Assumptions!$B$7*Assumptions!$B$39+Assumptions!$B$7*Assumptions!$B$12*Assumptions!$B$15+Assumptions!$B$38+((Assumptions!$B$47+Assumptions!$B$48+Assumptions!$B$49+Assumptions!$B$50)*(1+Assumptions!$B$55))*Assumptions!$B$43)</f>
        <v/>
      </c>
      <c r="E10" s="32">
        <f>-B4+D10*(1-(1+Assumptions!$B$58)^-Assumptions!$B$18)/Assumptions!$B$58</f>
        <v/>
      </c>
      <c r="F10" s="28">
        <f>IF(D10&lt;=0,"never",IF(B4/D10&gt;40,"never",ROUND(B4/D10,0)&amp;" yr"))</f>
        <v/>
      </c>
      <c r="G10" s="18">
        <f>IF(E10&gt;0,"yes",IF(E10&gt;-150000000,"close","no"))</f>
        <v/>
      </c>
    </row>
    <row r="11">
      <c r="A11" s="10" t="inlineStr">
        <is>
          <t>§45Q + LCFS high ($80) + removal base ($100)</t>
        </is>
      </c>
      <c r="B11" s="31">
        <f>Assumptions!$B$17*Assumptions!$B$19+80+Assumptions!$B$24</f>
        <v/>
      </c>
      <c r="C11" s="22">
        <f>B11*Assumptions!$B$7</f>
        <v/>
      </c>
      <c r="D11" s="22">
        <f>C11-(Assumptions!$B$7*Assumptions!$B$39+Assumptions!$B$7*Assumptions!$B$12*Assumptions!$B$15+Assumptions!$B$38+((Assumptions!$B$47+Assumptions!$B$48+Assumptions!$B$49+Assumptions!$B$50)*(1+Assumptions!$B$55))*Assumptions!$B$43)</f>
        <v/>
      </c>
      <c r="E11" s="32">
        <f>-B4+D11*(1-(1+Assumptions!$B$58)^-Assumptions!$B$18)/Assumptions!$B$58</f>
        <v/>
      </c>
      <c r="F11" s="28">
        <f>IF(D11&lt;=0,"never",IF(B4/D11&gt;40,"never",ROUND(B4/D11,0)&amp;" yr"))</f>
        <v/>
      </c>
      <c r="G11" s="18">
        <f>IF(E11&gt;0,"yes",IF(E11&gt;-150000000,"close","no"))</f>
        <v/>
      </c>
    </row>
    <row r="12">
      <c r="A12" s="10" t="inlineStr">
        <is>
          <t>§45Q + LCFS + removal at the credit-stack page's floor ($150)</t>
        </is>
      </c>
      <c r="B12" s="31">
        <f>Assumptions!$B$17*Assumptions!$B$19+Assumptions!$B$22+150</f>
        <v/>
      </c>
      <c r="C12" s="22">
        <f>B12*Assumptions!$B$7</f>
        <v/>
      </c>
      <c r="D12" s="22">
        <f>C12-(Assumptions!$B$7*Assumptions!$B$39+Assumptions!$B$7*Assumptions!$B$12*Assumptions!$B$15+Assumptions!$B$38+((Assumptions!$B$47+Assumptions!$B$48+Assumptions!$B$49+Assumptions!$B$50)*(1+Assumptions!$B$55))*Assumptions!$B$43)</f>
        <v/>
      </c>
      <c r="E12" s="32">
        <f>-B4+D12*(1-(1+Assumptions!$B$58)^-Assumptions!$B$18)/Assumptions!$B$58</f>
        <v/>
      </c>
      <c r="F12" s="28">
        <f>IF(D12&lt;=0,"never",IF(B4/D12&gt;40,"never",ROUND(B4/D12,0)&amp;" yr"))</f>
        <v/>
      </c>
      <c r="G12" s="18">
        <f>IF(E12&gt;0,"yes",IF(E12&gt;-150000000,"close","no"))</f>
        <v/>
      </c>
    </row>
    <row r="14">
      <c r="A14" s="3" t="inlineStr">
        <is>
          <t>Breakeven credit price (NPV = 0 over the credit period)</t>
        </is>
      </c>
      <c r="B14" s="48">
        <f>((Assumptions!$B$7*Assumptions!$B$39+Assumptions!$B$7*Assumptions!$B$12*Assumptions!$B$15+Assumptions!$B$38+((Assumptions!$B$47+Assumptions!$B$48+Assumptions!$B$49+Assumptions!$B$50)*(1+Assumptions!$B$55))*Assumptions!$B$43)+B4*Assumptions!$B$58/(1-(1+Assumptions!$B$58)^-Assumptions!$B$18))/Assumptions!$B$7</f>
        <v/>
      </c>
      <c r="G14" s="6" t="inlineStr">
        <is>
          <t>what the stack has to clear before the CO₂ side pays for itself</t>
        </is>
      </c>
    </row>
    <row r="16">
      <c r="A16" s="3" t="inlineStr">
        <is>
          <t>Breakeven against the capture capex range</t>
        </is>
      </c>
      <c r="G16" s="6" t="inlineStr">
        <is>
          <t>the comparables span $625M to $1.0B for capture and wells</t>
        </is>
      </c>
    </row>
    <row r="17">
      <c r="A17" s="10" t="inlineStr">
        <is>
          <t>Low end of the comparables ($625M)</t>
        </is>
      </c>
      <c r="B17" s="31">
        <f>((Assumptions!$B$7*Assumptions!$B$39+Assumptions!$B$7*Assumptions!$B$12*Assumptions!$B$15+Assumptions!$B$38+((625000000.0+Assumptions!$B$49+Assumptions!$B$50)*(1+Assumptions!$B$55))*Assumptions!$B$43)+((625000000.0+Assumptions!$B$49+Assumptions!$B$50)*(1+Assumptions!$B$55))*Assumptions!$B$58/(1-(1+Assumptions!$B$58)^-Assumptions!$B$18))/Assumptions!$B$7</f>
        <v/>
      </c>
      <c r="C17" s="22">
        <f>((625000000.0+Assumptions!$B$49+Assumptions!$B$50)*(1+Assumptions!$B$55))</f>
        <v/>
      </c>
      <c r="D17" s="6" t="inlineStr">
        <is>
          <t>all-in capital</t>
        </is>
      </c>
    </row>
    <row r="18">
      <c r="A18" s="10" t="inlineStr">
        <is>
          <t>Petra Nova unit cost ($631M)</t>
        </is>
      </c>
      <c r="B18" s="31">
        <f>((Assumptions!$B$7*Assumptions!$B$39+Assumptions!$B$7*Assumptions!$B$12*Assumptions!$B$15+Assumptions!$B$38+((631000000.0+Assumptions!$B$49+Assumptions!$B$50)*(1+Assumptions!$B$55))*Assumptions!$B$43)+((631000000.0+Assumptions!$B$49+Assumptions!$B$50)*(1+Assumptions!$B$55))*Assumptions!$B$58/(1-(1+Assumptions!$B$58)^-Assumptions!$B$18))/Assumptions!$B$7</f>
        <v/>
      </c>
      <c r="C18" s="22">
        <f>((631000000.0+Assumptions!$B$49+Assumptions!$B$50)*(1+Assumptions!$B$55))</f>
        <v/>
      </c>
      <c r="D18" s="6" t="inlineStr">
        <is>
          <t>all-in capital</t>
        </is>
      </c>
    </row>
    <row r="19">
      <c r="A19" s="10" t="inlineStr">
        <is>
          <t>Mid case, as modelled ($800M)</t>
        </is>
      </c>
      <c r="B19" s="31">
        <f>((Assumptions!$B$7*Assumptions!$B$39+Assumptions!$B$7*Assumptions!$B$12*Assumptions!$B$15+Assumptions!$B$38+((800000000.0+Assumptions!$B$49+Assumptions!$B$50)*(1+Assumptions!$B$55))*Assumptions!$B$43)+((800000000.0+Assumptions!$B$49+Assumptions!$B$50)*(1+Assumptions!$B$55))*Assumptions!$B$58/(1-(1+Assumptions!$B$58)^-Assumptions!$B$18))/Assumptions!$B$7</f>
        <v/>
      </c>
      <c r="C19" s="22">
        <f>((800000000.0+Assumptions!$B$49+Assumptions!$B$50)*(1+Assumptions!$B$55))</f>
        <v/>
      </c>
      <c r="D19" s="6" t="inlineStr">
        <is>
          <t>all-in capital</t>
        </is>
      </c>
    </row>
    <row r="20">
      <c r="A20" s="10" t="inlineStr">
        <is>
          <t>Boundary Dam and Quest unit cost ($850M)</t>
        </is>
      </c>
      <c r="B20" s="31">
        <f>((Assumptions!$B$7*Assumptions!$B$39+Assumptions!$B$7*Assumptions!$B$12*Assumptions!$B$15+Assumptions!$B$38+((850000000.0+Assumptions!$B$49+Assumptions!$B$50)*(1+Assumptions!$B$55))*Assumptions!$B$43)+((850000000.0+Assumptions!$B$49+Assumptions!$B$50)*(1+Assumptions!$B$55))*Assumptions!$B$58/(1-(1+Assumptions!$B$58)^-Assumptions!$B$18))/Assumptions!$B$7</f>
        <v/>
      </c>
      <c r="C20" s="22">
        <f>((850000000.0+Assumptions!$B$49+Assumptions!$B$50)*(1+Assumptions!$B$55))</f>
        <v/>
      </c>
      <c r="D20" s="6" t="inlineStr">
        <is>
          <t>all-in capital</t>
        </is>
      </c>
    </row>
    <row r="21">
      <c r="A21" s="10" t="inlineStr">
        <is>
          <t>High end of the comparables ($1.0B)</t>
        </is>
      </c>
      <c r="B21" s="31">
        <f>((Assumptions!$B$7*Assumptions!$B$39+Assumptions!$B$7*Assumptions!$B$12*Assumptions!$B$15+Assumptions!$B$38+((1000000000.0+Assumptions!$B$49+Assumptions!$B$50)*(1+Assumptions!$B$55))*Assumptions!$B$43)+((1000000000.0+Assumptions!$B$49+Assumptions!$B$50)*(1+Assumptions!$B$55))*Assumptions!$B$58/(1-(1+Assumptions!$B$58)^-Assumptions!$B$18))/Assumptions!$B$7</f>
        <v/>
      </c>
      <c r="C21" s="22">
        <f>((1000000000.0+Assumptions!$B$49+Assumptions!$B$50)*(1+Assumptions!$B$55))</f>
        <v/>
      </c>
      <c r="D21" s="6" t="inlineStr">
        <is>
          <t>all-in capital</t>
        </is>
      </c>
    </row>
    <row r="23">
      <c r="A23" s="3" t="inlineStr">
        <is>
          <t>What this means</t>
        </is>
      </c>
    </row>
    <row r="24">
      <c r="A24" s="6" t="inlineStr">
        <is>
          <t>The CO₂ blocks do not carry themselves on §45Q alone. The credit is real and bankable, but at the</t>
        </is>
      </c>
    </row>
    <row r="25">
      <c r="A25" s="6" t="inlineStr">
        <is>
          <t>capital cost the built comparables imply it services roughly a third of what the blocks cost.</t>
        </is>
      </c>
    </row>
    <row r="26">
      <c r="A26" s="6" t="inlineStr">
        <is>
          <t>The project therefore does not decompose into a safe credit floor with speculative product upside.</t>
        </is>
      </c>
    </row>
    <row r="27">
      <c r="A27" s="6" t="inlineStr">
        <is>
          <t>The product engine is not the upside. It is the part that pays for the capture.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18"/>
  <sheetViews>
    <sheetView showGridLines="0" workbookViewId="0">
      <selection activeCell="A1" sqref="A1"/>
    </sheetView>
  </sheetViews>
  <sheetFormatPr baseColWidth="8" defaultRowHeight="15"/>
  <cols>
    <col width="34" customWidth="1" min="1" max="1"/>
    <col width="16" customWidth="1" min="2" max="2"/>
    <col width="18" customWidth="1" min="3" max="3"/>
    <col width="20" customWidth="1" min="4" max="4"/>
    <col width="46" customWidth="1" min="5" max="5"/>
  </cols>
  <sheetData>
    <row r="1">
      <c r="A1" s="1" t="inlineStr">
        <is>
          <t>What 850,000 t/yr actually is</t>
        </is>
      </c>
    </row>
    <row r="2">
      <c r="A2" s="6" t="inlineStr">
        <is>
          <t>Capture at this scale has been built three times. None of the three is an unqualified success.</t>
        </is>
      </c>
    </row>
    <row r="4">
      <c r="A4" s="29" t="inlineStr">
        <is>
          <t>Project</t>
        </is>
      </c>
      <c r="B4" s="29" t="inlineStr">
        <is>
          <t>Capacity</t>
        </is>
      </c>
      <c r="C4" s="29" t="inlineStr">
        <is>
          <t>Capex</t>
        </is>
      </c>
      <c r="D4" s="29" t="inlineStr">
        <is>
          <t>$ per annual tonne</t>
        </is>
      </c>
      <c r="E4" s="29" t="inlineStr">
        <is>
          <t>Outcome</t>
        </is>
      </c>
    </row>
    <row r="5">
      <c r="A5" s="10" t="inlineStr">
        <is>
          <t>Petra Nova, Texas, 2017</t>
        </is>
      </c>
      <c r="B5" s="28" t="inlineStr">
        <is>
          <t>1.4 Mt/yr</t>
        </is>
      </c>
      <c r="C5" s="28" t="inlineStr">
        <is>
          <t>~$1.04B</t>
        </is>
      </c>
      <c r="D5" s="31" t="n">
        <v>743</v>
      </c>
      <c r="E5" s="6" t="inlineStr">
        <is>
          <t>Mothballed May 2020; restarted 2023 at reduced capacity</t>
        </is>
      </c>
    </row>
    <row r="6">
      <c r="A6" s="10" t="inlineStr">
        <is>
          <t>Boundary Dam, Saskatchewan, 2014</t>
        </is>
      </c>
      <c r="B6" s="28" t="inlineStr">
        <is>
          <t>1.0 Mt/yr</t>
        </is>
      </c>
      <c r="C6" s="28" t="inlineStr">
        <is>
          <t>C$1.35B</t>
        </is>
      </c>
      <c r="D6" s="31" t="n">
        <v>999</v>
      </c>
      <c r="E6" s="6" t="inlineStr">
        <is>
          <t>Has never reached nameplate; averages about 65%</t>
        </is>
      </c>
    </row>
    <row r="7">
      <c r="A7" s="10" t="inlineStr">
        <is>
          <t>Quest, Alberta, 2015</t>
        </is>
      </c>
      <c r="B7" s="28" t="inlineStr">
        <is>
          <t>1.0 Mt/yr</t>
        </is>
      </c>
      <c r="C7" s="28" t="inlineStr">
        <is>
          <t>C$1.35B</t>
        </is>
      </c>
      <c r="D7" s="31" t="n">
        <v>999</v>
      </c>
      <c r="E7" s="6" t="inlineStr">
        <is>
          <t>Best performing of the three; hydrogen production, not power</t>
        </is>
      </c>
    </row>
    <row r="8">
      <c r="A8" s="10" t="inlineStr">
        <is>
          <t>Mesquite Lake, this project</t>
        </is>
      </c>
      <c r="B8" s="28" t="inlineStr">
        <is>
          <t>0.85 Mt/yr</t>
        </is>
      </c>
      <c r="C8" s="28" t="inlineStr">
        <is>
          <t>$625M–$1.0B</t>
        </is>
      </c>
      <c r="D8" s="31" t="n">
        <v>941</v>
      </c>
      <c r="E8" s="6" t="inlineStr">
        <is>
          <t>Not yet built</t>
        </is>
      </c>
    </row>
    <row r="10">
      <c r="A10" s="3" t="inlineStr">
        <is>
          <t>Scale, stated plainly</t>
        </is>
      </c>
    </row>
    <row r="11">
      <c r="A11" s="10" t="inlineStr">
        <is>
          <t>Capture rate, around the clock</t>
        </is>
      </c>
      <c r="B11" s="28" t="inlineStr">
        <is>
          <t>95 tonnes per hour</t>
        </is>
      </c>
    </row>
    <row r="12">
      <c r="A12" s="10" t="inlineStr">
        <is>
          <t>Per second</t>
        </is>
      </c>
      <c r="B12" s="28" t="inlineStr">
        <is>
          <t>26 kilograms, continuously</t>
        </is>
      </c>
    </row>
    <row r="13">
      <c r="A13" s="10" t="inlineStr">
        <is>
          <t>Against Petra Nova</t>
        </is>
      </c>
      <c r="B13" s="28" t="inlineStr">
        <is>
          <t>59% of its size</t>
        </is>
      </c>
    </row>
    <row r="14">
      <c r="A14" s="10" t="inlineStr">
        <is>
          <t>Against Boundary Dam</t>
        </is>
      </c>
      <c r="B14" s="28" t="inlineStr">
        <is>
          <t>83% of its size</t>
        </is>
      </c>
    </row>
    <row r="15">
      <c r="A15" s="10" t="inlineStr">
        <is>
          <t>Cars equivalent</t>
        </is>
      </c>
      <c r="B15" s="28" t="inlineStr">
        <is>
          <t>181,000</t>
        </is>
      </c>
    </row>
    <row r="16">
      <c r="A16" s="10" t="inlineStr">
        <is>
          <t>Share of a 500 MW coal plant's emissions</t>
        </is>
      </c>
      <c r="B16" s="28" t="inlineStr">
        <is>
          <t>28%</t>
        </is>
      </c>
    </row>
    <row r="17">
      <c r="A17" s="10" t="inlineStr">
        <is>
          <t>World graphene demand today</t>
        </is>
      </c>
      <c r="B17" s="28" t="inlineStr">
        <is>
          <t>3,800 t/yr</t>
        </is>
      </c>
    </row>
    <row r="18">
      <c r="A18" s="10" t="inlineStr">
        <is>
          <t>Carbon this stream yields at 75% conversion</t>
        </is>
      </c>
      <c r="B18" s="28" t="inlineStr">
        <is>
          <t>173,864 t/yr, about 46x world demand</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3"/>
  <sheetViews>
    <sheetView showGridLines="0" workbookViewId="0">
      <selection activeCell="A1" sqref="A1"/>
    </sheetView>
  </sheetViews>
  <sheetFormatPr baseColWidth="8" defaultRowHeight="15"/>
  <cols>
    <col width="34" customWidth="1" min="1" max="1"/>
    <col width="58" customWidth="1" min="2" max="2"/>
    <col width="60" customWidth="1" min="3" max="3"/>
  </cols>
  <sheetData>
    <row r="1">
      <c r="A1" s="1" t="inlineStr">
        <is>
          <t>Sources</t>
        </is>
      </c>
    </row>
    <row r="3">
      <c r="A3" s="29" t="inlineStr">
        <is>
          <t>Input</t>
        </is>
      </c>
      <c r="B3" s="29" t="inlineStr">
        <is>
          <t>Value used</t>
        </is>
      </c>
      <c r="C3" s="29" t="inlineStr">
        <is>
          <t>Source</t>
        </is>
      </c>
    </row>
    <row r="4">
      <c r="A4" s="49" t="inlineStr">
        <is>
          <t>CO₂ captured</t>
        </is>
      </c>
      <c r="B4" s="49" t="inlineStr">
        <is>
          <t>850,000 t/yr</t>
        </is>
      </c>
      <c r="C4" s="50" t="inlineStr">
        <is>
          <t>Instruction. The sizing model page runs 840,000 t/yr.</t>
        </is>
      </c>
    </row>
    <row r="5">
      <c r="A5" s="49" t="inlineStr">
        <is>
          <t>Conversion, energy, parasitic, prices</t>
        </is>
      </c>
      <c r="B5" s="49" t="inlineStr">
        <is>
          <t>75%, 6.0 MWh/t, 1.0 MWh/t CO₂, $45/MWh</t>
        </is>
      </c>
      <c r="C5" s="50" t="inlineStr">
        <is>
          <t>savrnplatform.com/p/co2-to-graphene, slider defaults</t>
        </is>
      </c>
    </row>
    <row r="6">
      <c r="A6" s="49" t="inlineStr">
        <is>
          <t>Capex stack</t>
        </is>
      </c>
      <c r="B6" s="49" t="inlineStr">
        <is>
          <t>$1.81B across three phases</t>
        </is>
      </c>
      <c r="C6" s="50" t="inlineStr">
        <is>
          <t>savrnplatform.com/p/co2-to-graphene, capex by phase</t>
        </is>
      </c>
    </row>
    <row r="7">
      <c r="A7" s="49" t="inlineStr">
        <is>
          <t>Staffing and consumables</t>
        </is>
      </c>
      <c r="B7" s="49" t="inlineStr">
        <is>
          <t>252 FTE at full scale; electrodes ~$18M/yr; amine ~$3M/yr</t>
        </is>
      </c>
      <c r="C7" s="50" t="inlineStr">
        <is>
          <t>savrnplatform.com/p/co2-to-graphene</t>
        </is>
      </c>
    </row>
    <row r="8">
      <c r="A8" s="49" t="inlineStr">
        <is>
          <t>§45Q rates</t>
        </is>
      </c>
      <c r="B8" s="49" t="inlineStr">
        <is>
          <t>$60/t utilization, $85/t sequestration</t>
        </is>
      </c>
      <c r="C8" s="50" t="inlineStr">
        <is>
          <t>savrnplatform.com/p/co2-to-graphene; 26 USC §45Q</t>
        </is>
      </c>
    </row>
    <row r="9">
      <c r="A9" s="49" t="inlineStr">
        <is>
          <t>Graphene ramp, case A</t>
        </is>
      </c>
      <c r="B9" s="49" t="inlineStr">
        <is>
          <t>1–3 t in Y1 to 120–150 t/yr in Y5</t>
        </is>
      </c>
      <c r="C9" s="50" t="inlineStr">
        <is>
          <t>savrnplatform.com/p/graphene-strategy, revenue model</t>
        </is>
      </c>
    </row>
    <row r="10">
      <c r="A10" s="49" t="inlineStr">
        <is>
          <t>Realized price bands</t>
        </is>
      </c>
      <c r="B10" s="49" t="inlineStr">
        <is>
          <t>$100–2,000/kg early, $100–300/kg at runrate</t>
        </is>
      </c>
      <c r="C10" s="50" t="inlineStr">
        <is>
          <t>savrnplatform.com/p/graphene-strategy, ramp and price ladder</t>
        </is>
      </c>
    </row>
    <row r="11">
      <c r="A11" s="49" t="inlineStr">
        <is>
          <t>Anchor segment volumes</t>
        </is>
      </c>
      <c r="B11" s="49" t="inlineStr">
        <is>
          <t>Asphalt platform 75,000 t/yr additive treating 2.5M t asphalt</t>
        </is>
      </c>
      <c r="C11" s="50" t="inlineStr">
        <is>
          <t>savrnplatform.com/p/graphene-strategy, anchor segments</t>
        </is>
      </c>
    </row>
    <row r="12">
      <c r="A12" s="49" t="inlineStr">
        <is>
          <t>Capacity-versus-revenue discipline</t>
        </is>
      </c>
      <c r="B12" s="49" t="inlineStr">
        <is>
          <t>100+ t/yr producers book under $1M</t>
        </is>
      </c>
      <c r="C12" s="50" t="inlineStr">
        <is>
          <t>savrnplatform.com/p/graphene-strategy, capacity vs realized revenue</t>
        </is>
      </c>
    </row>
    <row r="13">
      <c r="A13" s="49" t="inlineStr">
        <is>
          <t>Royalty, SG&amp;A, formulation, O₂ offtake share, injection cost</t>
        </is>
      </c>
      <c r="B13" s="49" t="inlineStr">
        <is>
          <t>5%, 9%, 8%, 35%, $12/t</t>
        </is>
      </c>
      <c r="C13" s="50" t="inlineStr">
        <is>
          <t>model. Not on either page.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61"/>
  <sheetViews>
    <sheetView showGridLines="0" workbookViewId="0">
      <selection activeCell="A1" sqref="A1"/>
    </sheetView>
  </sheetViews>
  <sheetFormatPr baseColWidth="8" defaultRowHeight="15"/>
  <cols>
    <col width="38" customWidth="1" min="1" max="1"/>
    <col width="14" customWidth="1" min="2" max="2"/>
    <col width="12" customWidth="1" min="3" max="3"/>
    <col width="10" customWidth="1" min="4" max="4"/>
    <col width="64" customWidth="1" min="5" max="5"/>
  </cols>
  <sheetData>
    <row r="1">
      <c r="A1" s="1" t="inlineStr">
        <is>
          <t>Assumptions</t>
        </is>
      </c>
    </row>
    <row r="2">
      <c r="A2" s="6" t="inlineStr">
        <is>
          <t>Blue cells are inputs. Everything else in the workbook is a formula.</t>
        </is>
      </c>
    </row>
    <row r="4">
      <c r="A4" s="3" t="inlineStr">
        <is>
          <t>CASE SELECTED (A, B or C)</t>
        </is>
      </c>
      <c r="B4" s="7" t="inlineStr">
        <is>
          <t>A</t>
        </is>
      </c>
      <c r="E4" s="6" t="inlineStr">
        <is>
          <t>A = anchor book (25 kt/yr) · B = phase 1 as scoped (50 kt/yr) · C = full conversion (150 kt/yr)</t>
        </is>
      </c>
    </row>
    <row r="6">
      <c r="A6" s="8" t="inlineStr">
        <is>
          <t>1 · Feedstock and process</t>
        </is>
      </c>
      <c r="B6" s="9" t="n"/>
      <c r="C6" s="9" t="n"/>
      <c r="D6" s="9" t="n"/>
      <c r="E6" s="9" t="n"/>
    </row>
    <row r="7">
      <c r="A7" s="10" t="inlineStr">
        <is>
          <t>CO₂ captured from the biomass plant</t>
        </is>
      </c>
      <c r="B7" s="11" t="n">
        <v>850000</v>
      </c>
      <c r="C7" s="6" t="inlineStr">
        <is>
          <t>t/yr</t>
        </is>
      </c>
      <c r="E7" s="6" t="inlineStr">
        <is>
          <t>instruction · P1 models 840,000</t>
        </is>
      </c>
    </row>
    <row r="8">
      <c r="A8" s="10" t="inlineStr">
        <is>
          <t>Conversion efficiency (CO₂ to carbon product)</t>
        </is>
      </c>
      <c r="B8" s="12" t="n">
        <v>0.75</v>
      </c>
      <c r="C8" s="6" t="inlineStr"/>
      <c r="E8" s="6" t="inlineStr">
        <is>
          <t>P1 slider default (range 40–95%)</t>
        </is>
      </c>
    </row>
    <row r="9">
      <c r="A9" s="10" t="inlineStr">
        <is>
          <t>Carbon yield per tonne CO₂</t>
        </is>
      </c>
      <c r="B9" s="13" t="n">
        <v>0.2727272727272727</v>
      </c>
      <c r="C9" s="6" t="inlineStr">
        <is>
          <t>t C/t CO₂</t>
        </is>
      </c>
      <c r="E9" s="6" t="inlineStr">
        <is>
          <t>stoichiometry, 12/44</t>
        </is>
      </c>
    </row>
    <row r="10">
      <c r="A10" s="10" t="inlineStr">
        <is>
          <t>O₂ coproduct per tonne carbon</t>
        </is>
      </c>
      <c r="B10" s="14" t="n">
        <v>2.666666666666667</v>
      </c>
      <c r="C10" s="6" t="inlineStr">
        <is>
          <t>t O₂/t C</t>
        </is>
      </c>
      <c r="E10" s="6" t="inlineStr">
        <is>
          <t>P1 · 2.67 t O₂ per t C</t>
        </is>
      </c>
    </row>
    <row r="11">
      <c r="A11" s="10" t="inlineStr">
        <is>
          <t>Electrolysis energy intensity</t>
        </is>
      </c>
      <c r="B11" s="15" t="n">
        <v>6</v>
      </c>
      <c r="C11" s="6" t="inlineStr">
        <is>
          <t>MWh/t GNC</t>
        </is>
      </c>
      <c r="E11" s="6" t="inlineStr">
        <is>
          <t>P1 slider default (range 4.5–9)</t>
        </is>
      </c>
    </row>
    <row r="12">
      <c r="A12" s="10" t="inlineStr">
        <is>
          <t>Capture parasitic load</t>
        </is>
      </c>
      <c r="B12" s="16" t="n">
        <v>1</v>
      </c>
      <c r="C12" s="6" t="inlineStr">
        <is>
          <t>MWh/t CO₂</t>
        </is>
      </c>
      <c r="E12" s="6" t="inlineStr">
        <is>
          <t>P1 slider default (range 0.6–1.6)</t>
        </is>
      </c>
    </row>
    <row r="14">
      <c r="A14" s="8" t="inlineStr">
        <is>
          <t>2 · Prices and credits</t>
        </is>
      </c>
      <c r="B14" s="9" t="n"/>
      <c r="C14" s="9" t="n"/>
      <c r="D14" s="9" t="n"/>
      <c r="E14" s="9" t="n"/>
    </row>
    <row r="15">
      <c r="A15" s="10" t="inlineStr">
        <is>
          <t>Power price (behind the meter)</t>
        </is>
      </c>
      <c r="B15" s="17" t="n">
        <v>45</v>
      </c>
      <c r="C15" s="6" t="inlineStr">
        <is>
          <t>$/MWh</t>
        </is>
      </c>
      <c r="E15" s="6" t="inlineStr">
        <is>
          <t>P1 slider default</t>
        </is>
      </c>
    </row>
    <row r="16">
      <c r="A16" s="10" t="inlineStr">
        <is>
          <t>§45Q utilization rate</t>
        </is>
      </c>
      <c r="B16" s="17" t="n">
        <v>60</v>
      </c>
      <c r="C16" s="6" t="inlineStr">
        <is>
          <t>$/t CO₂</t>
        </is>
      </c>
      <c r="E16" s="6" t="inlineStr">
        <is>
          <t>P1 · CO₂ consumed as feedstock</t>
        </is>
      </c>
    </row>
    <row r="17">
      <c r="A17" s="10" t="inlineStr">
        <is>
          <t>§45Q sequestration rate</t>
        </is>
      </c>
      <c r="B17" s="17" t="n">
        <v>85</v>
      </c>
      <c r="C17" s="6" t="inlineStr">
        <is>
          <t>$/t CO₂</t>
        </is>
      </c>
      <c r="E17" s="6" t="inlineStr">
        <is>
          <t>P1 · unconverted CO₂ injected</t>
        </is>
      </c>
    </row>
    <row r="18">
      <c r="A18" s="10" t="inlineStr">
        <is>
          <t>§45Q credit period</t>
        </is>
      </c>
      <c r="B18" s="11" t="n">
        <v>12</v>
      </c>
      <c r="C18" s="6" t="inlineStr">
        <is>
          <t>years</t>
        </is>
      </c>
      <c r="E18" s="6" t="inlineStr">
        <is>
          <t>26 USC §45Q(a)</t>
        </is>
      </c>
    </row>
    <row r="19">
      <c r="A19" s="10" t="inlineStr">
        <is>
          <t>§45Q transfer realization (§6418)</t>
        </is>
      </c>
      <c r="B19" s="12" t="n">
        <v>0.92</v>
      </c>
      <c r="C19" s="6" t="inlineStr"/>
      <c r="E19" s="6" t="inlineStr">
        <is>
          <t>model · credit-market discount</t>
        </is>
      </c>
    </row>
    <row r="20">
      <c r="A20" s="10" t="inlineStr">
        <is>
          <t>O₂ price</t>
        </is>
      </c>
      <c r="B20" s="17" t="n">
        <v>40</v>
      </c>
      <c r="C20" s="6" t="inlineStr">
        <is>
          <t>$/t</t>
        </is>
      </c>
      <c r="E20" s="6" t="inlineStr">
        <is>
          <t>P1 slider default (range 0–200)</t>
        </is>
      </c>
    </row>
    <row r="21">
      <c r="A21" s="10" t="inlineStr">
        <is>
          <t>Share of O₂ coproduct actually sold</t>
        </is>
      </c>
      <c r="B21" s="12" t="n">
        <v>0.35</v>
      </c>
      <c r="C21" s="6" t="inlineStr"/>
      <c r="E21" s="6" t="inlineStr">
        <is>
          <t>model · merchant O₂ offtake limit</t>
        </is>
      </c>
    </row>
    <row r="22">
      <c r="A22" s="10" t="inlineStr">
        <is>
          <t>LCFS credit value on the CO₂ stream</t>
        </is>
      </c>
      <c r="B22" s="17" t="n">
        <v>60</v>
      </c>
      <c r="C22" s="6" t="inlineStr">
        <is>
          <t>$/t CO₂</t>
        </is>
      </c>
      <c r="E22" s="6" t="inlineStr">
        <is>
          <t>feasibility input · requires a certified CARB pathway; 0 if not certified</t>
        </is>
      </c>
    </row>
    <row r="23">
      <c r="A23" s="10" t="inlineStr">
        <is>
          <t>LCFS pathway certified (1 = yes)</t>
        </is>
      </c>
      <c r="B23" s="11" t="n">
        <v>1</v>
      </c>
      <c r="C23" s="6" t="inlineStr"/>
      <c r="E23" s="6" t="inlineStr">
        <is>
          <t>set 0 to test the project without it</t>
        </is>
      </c>
    </row>
    <row r="24">
      <c r="A24" s="10" t="inlineStr">
        <is>
          <t>Carbon-removal attribute (voluntary market)</t>
        </is>
      </c>
      <c r="B24" s="17" t="n">
        <v>100</v>
      </c>
      <c r="C24" s="6" t="inlineStr">
        <is>
          <t>$/t CO₂</t>
        </is>
      </c>
      <c r="E24" s="6" t="inlineStr">
        <is>
          <t>feasibility input · $50 low, $100 base. The credit-stack page carries $150–500/t for BECCS removal.</t>
        </is>
      </c>
    </row>
    <row r="25">
      <c r="A25" s="10" t="inlineStr">
        <is>
          <t>Share of the stream sold as durable removal</t>
        </is>
      </c>
      <c r="B25" s="12" t="n">
        <v>1</v>
      </c>
      <c r="C25" s="6" t="inlineStr"/>
      <c r="E25" s="6" t="inlineStr">
        <is>
          <t>biogenic CO₂ permanently stored or bound in product</t>
        </is>
      </c>
    </row>
    <row r="27">
      <c r="A27" s="8" t="inlineStr">
        <is>
          <t>3 · Market context (the scale constraint)</t>
        </is>
      </c>
      <c r="B27" s="9" t="n"/>
      <c r="C27" s="9" t="n"/>
      <c r="D27" s="9" t="n"/>
      <c r="E27" s="9" t="n"/>
    </row>
    <row r="28">
      <c r="A28" s="6" t="inlineStr">
        <is>
          <t>World graphene demand is a small fraction of what this plant's carbon can make. That is why the output is sold as a product family, and why price compresses as our own volume in each segment grows.</t>
        </is>
      </c>
    </row>
    <row r="29">
      <c r="A29" s="10" t="inlineStr">
        <is>
          <t>World graphene demand today</t>
        </is>
      </c>
      <c r="B29" s="11" t="n">
        <v>3800</v>
      </c>
      <c r="C29" s="6" t="inlineStr">
        <is>
          <t>t/yr</t>
        </is>
      </c>
      <c r="E29" s="6" t="inlineStr">
        <is>
          <t>IDTechEx; Research and Markets 2026</t>
        </is>
      </c>
    </row>
    <row r="30">
      <c r="A30" s="10" t="inlineStr">
        <is>
          <t>World graphene material revenue today</t>
        </is>
      </c>
      <c r="B30" s="17" t="n">
        <v>1800000000</v>
      </c>
      <c r="C30" s="6" t="inlineStr">
        <is>
          <t>$/yr</t>
        </is>
      </c>
      <c r="E30" s="6" t="inlineStr">
        <is>
          <t>IDTechEx; Research and Markets 2026 ($1.6–2.0B)</t>
        </is>
      </c>
    </row>
    <row r="31">
      <c r="A31" s="10" t="inlineStr">
        <is>
          <t>Cement admixture theoretical demand at 0.05% loading</t>
        </is>
      </c>
      <c r="B31" s="11" t="n">
        <v>2200000</v>
      </c>
      <c r="C31" s="6" t="inlineStr">
        <is>
          <t>t/yr</t>
        </is>
      </c>
      <c r="E31" s="6" t="inlineStr">
        <is>
          <t>4.4 Gt/yr cement × 0.05% · the only end use larger than this plant</t>
        </is>
      </c>
    </row>
    <row r="32">
      <c r="A32" s="10" t="inlineStr">
        <is>
          <t>Carbon black market (displacement endgame)</t>
        </is>
      </c>
      <c r="B32" s="11" t="n">
        <v>14000000</v>
      </c>
      <c r="C32" s="6" t="inlineStr">
        <is>
          <t>t/yr</t>
        </is>
      </c>
      <c r="E32" s="6" t="inlineStr">
        <is>
          <t>tires alone ~9 Mt/yr at $1,500–3,500/t</t>
        </is>
      </c>
    </row>
    <row r="34">
      <c r="A34" s="8" t="inlineStr">
        <is>
          <t>4 · Operating cost</t>
        </is>
      </c>
      <c r="B34" s="9" t="n"/>
      <c r="C34" s="9" t="n"/>
      <c r="D34" s="9" t="n"/>
      <c r="E34" s="9" t="n"/>
    </row>
    <row r="35">
      <c r="A35" s="10" t="inlineStr">
        <is>
          <t>Non-power conversion opex</t>
        </is>
      </c>
      <c r="B35" s="17" t="n">
        <v>450</v>
      </c>
      <c r="C35" s="6" t="inlineStr">
        <is>
          <t>$/t GNC</t>
        </is>
      </c>
      <c r="E35" s="6" t="inlineStr">
        <is>
          <t>P1 slider default (range 200–900)</t>
        </is>
      </c>
    </row>
    <row r="36">
      <c r="A36" s="10" t="inlineStr">
        <is>
          <t>Fully loaded cost per FTE</t>
        </is>
      </c>
      <c r="B36" s="17" t="n">
        <v>165000</v>
      </c>
      <c r="C36" s="6" t="inlineStr">
        <is>
          <t>$/yr</t>
        </is>
      </c>
      <c r="E36" s="6" t="inlineStr">
        <is>
          <t>model</t>
        </is>
      </c>
    </row>
    <row r="37">
      <c r="A37" s="10" t="inlineStr">
        <is>
          <t>Electrodes and consumables at full scale</t>
        </is>
      </c>
      <c r="B37" s="17" t="n">
        <v>18000000</v>
      </c>
      <c r="C37" s="6" t="inlineStr">
        <is>
          <t>$/yr</t>
        </is>
      </c>
      <c r="E37" s="6" t="inlineStr">
        <is>
          <t>P1 · ~$18M/yr</t>
        </is>
      </c>
    </row>
    <row r="38">
      <c r="A38" s="10" t="inlineStr">
        <is>
          <t>Amine solvent makeup at full scale</t>
        </is>
      </c>
      <c r="B38" s="17" t="n">
        <v>3000000</v>
      </c>
      <c r="C38" s="6" t="inlineStr">
        <is>
          <t>$/yr</t>
        </is>
      </c>
      <c r="E38" s="6" t="inlineStr">
        <is>
          <t>P1 · ~$3M/yr</t>
        </is>
      </c>
    </row>
    <row r="39">
      <c r="A39" s="10" t="inlineStr">
        <is>
          <t>CO₂ transport and injection cost</t>
        </is>
      </c>
      <c r="B39" s="17" t="n">
        <v>12</v>
      </c>
      <c r="C39" s="6" t="inlineStr">
        <is>
          <t>$/t CO₂ injected</t>
        </is>
      </c>
      <c r="E39" s="6" t="inlineStr">
        <is>
          <t>model</t>
        </is>
      </c>
    </row>
    <row r="40">
      <c r="A40" s="10" t="inlineStr">
        <is>
          <t>Technology license royalty on graphene revenue</t>
        </is>
      </c>
      <c r="B40" s="12" t="n">
        <v>0.05</v>
      </c>
      <c r="C40" s="6" t="inlineStr"/>
      <c r="E40" s="6" t="inlineStr">
        <is>
          <t>model · C2CNT licence, Carbon Corp</t>
        </is>
      </c>
    </row>
    <row r="41">
      <c r="A41" s="10" t="inlineStr">
        <is>
          <t>Selling, general and administrative</t>
        </is>
      </c>
      <c r="B41" s="12" t="n">
        <v>0.09</v>
      </c>
      <c r="C41" s="6" t="inlineStr">
        <is>
          <t>of revenue</t>
        </is>
      </c>
      <c r="E41" s="6" t="inlineStr">
        <is>
          <t>model</t>
        </is>
      </c>
    </row>
    <row r="42">
      <c r="A42" s="6" t="inlineStr">
        <is>
          <t>Formulation, packaging and outbound logistics</t>
        </is>
      </c>
      <c r="B42" s="12" t="n">
        <v>0.08</v>
      </c>
      <c r="C42" s="6" t="inlineStr">
        <is>
          <t>of graphene revenue</t>
        </is>
      </c>
      <c r="E42" s="6" t="inlineStr">
        <is>
          <t>model · P2 requires dosed formulations, not powder</t>
        </is>
      </c>
    </row>
    <row r="43">
      <c r="A43" s="10" t="inlineStr">
        <is>
          <t>Maintenance capex</t>
        </is>
      </c>
      <c r="B43" s="12" t="n">
        <v>0.02</v>
      </c>
      <c r="C43" s="6" t="inlineStr">
        <is>
          <t>of gross capex/yr</t>
        </is>
      </c>
      <c r="E43" s="6" t="inlineStr">
        <is>
          <t>model</t>
        </is>
      </c>
    </row>
    <row r="45">
      <c r="A45" s="8" t="inlineStr">
        <is>
          <t>5 · Capital cost</t>
        </is>
      </c>
      <c r="B45" s="9" t="n"/>
      <c r="C45" s="9" t="n"/>
      <c r="D45" s="9" t="n"/>
      <c r="E45" s="9" t="n"/>
    </row>
    <row r="46">
      <c r="A46" t="inlineStr">
        <is>
          <t>Fixed CO₂ blocks are built once: they serve the whole 850,000 t/yr stream regardless of graphene demand.</t>
        </is>
      </c>
    </row>
    <row r="47">
      <c r="A47" s="10" t="inlineStr">
        <is>
          <t>Capture island and injection wells (full stream)</t>
        </is>
      </c>
      <c r="B47" s="17" t="n">
        <v>800000000</v>
      </c>
      <c r="C47" s="6" t="inlineStr">
        <is>
          <t>$</t>
        </is>
      </c>
      <c r="E47" s="6" t="inlineStr">
        <is>
          <t>CCS comparables: $625M–$1.0B for 850 kt/yr. Petra Nova unit cost implies $631M, Boundary Dam and Quest imply $850M. Supersedes the $220M+$55M on the sizing page.</t>
        </is>
      </c>
    </row>
    <row r="48">
      <c r="A48" s="10" t="inlineStr">
        <is>
          <t>(included in the line above)</t>
        </is>
      </c>
      <c r="B48" s="17" t="n">
        <v>0</v>
      </c>
      <c r="C48" s="6" t="inlineStr">
        <is>
          <t>$</t>
        </is>
      </c>
      <c r="E48" s="6" t="inlineStr">
        <is>
          <t>folded into capture and wells</t>
        </is>
      </c>
    </row>
    <row r="49">
      <c r="A49" s="10" t="inlineStr">
        <is>
          <t>220 kV substation</t>
        </is>
      </c>
      <c r="B49" s="17" t="n">
        <v>80000000</v>
      </c>
      <c r="C49" s="6" t="inlineStr">
        <is>
          <t>$</t>
        </is>
      </c>
      <c r="E49" s="6" t="inlineStr">
        <is>
          <t>P1 capex stack</t>
        </is>
      </c>
    </row>
    <row r="50">
      <c r="A50" s="10" t="inlineStr">
        <is>
          <t>Admin, control, safety</t>
        </is>
      </c>
      <c r="B50" s="17" t="n">
        <v>25000000</v>
      </c>
      <c r="C50" s="6" t="inlineStr">
        <is>
          <t>$</t>
        </is>
      </c>
      <c r="E50" s="6" t="inlineStr">
        <is>
          <t>P1 capex stack</t>
        </is>
      </c>
    </row>
    <row r="51">
      <c r="A51" s="10" t="inlineStr">
        <is>
          <t>O₂ cryogenic recovery</t>
        </is>
      </c>
      <c r="B51" s="17" t="n">
        <v>100000000</v>
      </c>
      <c r="C51" s="6" t="inlineStr">
        <is>
          <t>$</t>
        </is>
      </c>
      <c r="E51" s="6" t="inlineStr">
        <is>
          <t>P1 capex stack</t>
        </is>
      </c>
    </row>
    <row r="52">
      <c r="A52" s="10" t="inlineStr">
        <is>
          <t>Kiln potlines, per annual tonne of GNC capacity</t>
        </is>
      </c>
      <c r="B52" s="17" t="n">
        <v>5222.222222222223</v>
      </c>
      <c r="C52" s="6" t="inlineStr">
        <is>
          <t>$/t-yr</t>
        </is>
      </c>
      <c r="E52" s="6" t="inlineStr">
        <is>
          <t>P1 · $940M for 180 kt/yr</t>
        </is>
      </c>
    </row>
    <row r="53">
      <c r="A53" s="10" t="inlineStr">
        <is>
          <t>Purification and spec, per annual tonne</t>
        </is>
      </c>
      <c r="B53" s="17" t="n">
        <v>611.1111111111111</v>
      </c>
      <c r="C53" s="6" t="inlineStr">
        <is>
          <t>$/t-yr</t>
        </is>
      </c>
      <c r="E53" s="6" t="inlineStr">
        <is>
          <t>P1 · $110M for 180 kt/yr</t>
        </is>
      </c>
    </row>
    <row r="54">
      <c r="A54" s="10" t="inlineStr">
        <is>
          <t>Rail spur and loadout, per annual tonne</t>
        </is>
      </c>
      <c r="B54" s="17" t="n">
        <v>166.6666666666667</v>
      </c>
      <c r="C54" s="6" t="inlineStr">
        <is>
          <t>$/t-yr</t>
        </is>
      </c>
      <c r="E54" s="6" t="inlineStr">
        <is>
          <t>P1 · $30M for 180 kt/yr</t>
        </is>
      </c>
    </row>
    <row r="55">
      <c r="A55" s="10" t="inlineStr">
        <is>
          <t>Contingency</t>
        </is>
      </c>
      <c r="B55" s="12" t="n">
        <v>0.1</v>
      </c>
      <c r="C55" s="6" t="inlineStr">
        <is>
          <t>of build cost</t>
        </is>
      </c>
      <c r="E55" s="6" t="inlineStr">
        <is>
          <t>P1 capex stack</t>
        </is>
      </c>
    </row>
    <row r="57">
      <c r="A57" s="8" t="inlineStr">
        <is>
          <t>6 · Financial</t>
        </is>
      </c>
      <c r="B57" s="9" t="n"/>
      <c r="C57" s="9" t="n"/>
      <c r="D57" s="9" t="n"/>
      <c r="E57" s="9" t="n"/>
    </row>
    <row r="58">
      <c r="A58" s="10" t="inlineStr">
        <is>
          <t>Discount rate</t>
        </is>
      </c>
      <c r="B58" s="12" t="n">
        <v>0.15</v>
      </c>
      <c r="C58" s="6" t="inlineStr"/>
      <c r="E58" s="6" t="inlineStr">
        <is>
          <t>model · equity hurdle</t>
        </is>
      </c>
    </row>
    <row r="59">
      <c r="A59" s="10" t="inlineStr">
        <is>
          <t>Corporate tax rate</t>
        </is>
      </c>
      <c r="B59" s="12" t="n">
        <v>0.21</v>
      </c>
      <c r="C59" s="6" t="inlineStr"/>
      <c r="E59" s="6" t="inlineStr">
        <is>
          <t>IRC §11(b)</t>
        </is>
      </c>
    </row>
    <row r="60">
      <c r="A60" s="10" t="inlineStr">
        <is>
          <t>Depreciation life</t>
        </is>
      </c>
      <c r="B60" s="11" t="n">
        <v>15</v>
      </c>
      <c r="C60" s="6" t="inlineStr">
        <is>
          <t>years</t>
        </is>
      </c>
      <c r="E60" s="6" t="inlineStr">
        <is>
          <t>P1 default</t>
        </is>
      </c>
    </row>
    <row r="61">
      <c r="A61" s="10" t="inlineStr">
        <is>
          <t>Model horizon</t>
        </is>
      </c>
      <c r="B61" s="11" t="n">
        <v>25</v>
      </c>
      <c r="C61" s="6" t="inlineStr">
        <is>
          <t>years</t>
        </is>
      </c>
      <c r="E61" s="6" t="inlineStr">
        <is>
          <t>model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21"/>
  <sheetViews>
    <sheetView showGridLines="0" workbookViewId="0">
      <selection activeCell="A1" sqref="A1"/>
    </sheetView>
  </sheetViews>
  <sheetFormatPr baseColWidth="8" defaultRowHeight="15"/>
  <cols>
    <col width="40" customWidth="1" min="1" max="1"/>
    <col width="17"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s>
  <sheetData>
    <row r="1">
      <c r="A1" s="1" t="inlineStr">
        <is>
          <t>Product mix: where the carbon actually goes</t>
        </is>
      </c>
    </row>
    <row r="2">
      <c r="A2" s="6" t="inlineStr">
        <is>
          <t>World graphene demand is about 3,800 t/yr. This plant's carbon yield is about 46 times that. The output is therefore sold as a family of carbon products across four price tiers, not as one commodity. Edit the blue tonnage and price cells to reshape the book of business; everything downstream follows.</t>
        </is>
      </c>
    </row>
    <row r="3">
      <c r="A3" s="3" t="inlineStr">
        <is>
          <t>Case in force</t>
        </is>
      </c>
      <c r="B3" s="18">
        <f>Assumptions!$B$4</f>
        <v/>
      </c>
    </row>
    <row r="4">
      <c r="A4" s="19" t="inlineStr">
        <is>
          <t>Segment</t>
        </is>
      </c>
      <c r="B4" s="20" t="inlineStr">
        <is>
          <t>Tier</t>
        </is>
      </c>
      <c r="C4" s="20" t="inlineStr">
        <is>
          <t>A · anchor book</t>
        </is>
      </c>
      <c r="D4" s="20" t="inlineStr">
        <is>
          <t>B · phase 1</t>
        </is>
      </c>
      <c r="E4" s="20" t="inlineStr">
        <is>
          <t>C · full conversion</t>
        </is>
      </c>
      <c r="F4" s="20" t="inlineStr">
        <is>
          <t>Price today $/t</t>
        </is>
      </c>
      <c r="G4" s="20" t="inlineStr">
        <is>
          <t>Price at C volume $/t</t>
        </is>
      </c>
      <c r="H4" s="20" t="inlineStr">
        <is>
          <t>Absorbable low</t>
        </is>
      </c>
      <c r="I4" s="20" t="inlineStr">
        <is>
          <t>Absorbable high</t>
        </is>
      </c>
      <c r="J4" s="20" t="inlineStr">
        <is>
          <t>Ramp starts</t>
        </is>
      </c>
      <c r="K4" s="20" t="inlineStr">
        <is>
          <t>Years to full</t>
        </is>
      </c>
      <c r="L4" s="20" t="inlineStr">
        <is>
          <t>Revenue at full build</t>
        </is>
      </c>
    </row>
    <row r="5">
      <c r="A5" s="10" t="inlineStr">
        <is>
          <t>Battery-grade graphite (anode)</t>
        </is>
      </c>
      <c r="B5" s="6" t="inlineStr">
        <is>
          <t>1 · volume sink</t>
        </is>
      </c>
      <c r="C5" s="11" t="n">
        <v>8000</v>
      </c>
      <c r="D5" s="11" t="n">
        <v>20000</v>
      </c>
      <c r="E5" s="11" t="n">
        <v>60000</v>
      </c>
      <c r="F5" s="17" t="n">
        <v>10000</v>
      </c>
      <c r="G5" s="17" t="n">
        <v>8000</v>
      </c>
      <c r="H5" s="21" t="n">
        <v>30000</v>
      </c>
      <c r="I5" s="21" t="n">
        <v>100000</v>
      </c>
      <c r="J5" s="21" t="n">
        <v>3</v>
      </c>
      <c r="K5" s="21" t="n">
        <v>6</v>
      </c>
      <c r="L5" s="22">
        <f>IF($B$3="A",C5*F5,IF($B$3="B",D5*F5,E5*G5))</f>
        <v/>
      </c>
    </row>
    <row r="6">
      <c r="A6" s="10" t="inlineStr">
        <is>
          <t>Concrete and cement admixture</t>
        </is>
      </c>
      <c r="B6" s="6" t="inlineStr">
        <is>
          <t>1 · volume sink</t>
        </is>
      </c>
      <c r="C6" s="11" t="n">
        <v>9800</v>
      </c>
      <c r="D6" s="11" t="n">
        <v>15000</v>
      </c>
      <c r="E6" s="11" t="n">
        <v>50000</v>
      </c>
      <c r="F6" s="17" t="n">
        <v>60000</v>
      </c>
      <c r="G6" s="17" t="n">
        <v>12000</v>
      </c>
      <c r="H6" s="21" t="n">
        <v>20000</v>
      </c>
      <c r="I6" s="21" t="n">
        <v>80000</v>
      </c>
      <c r="J6" s="21" t="n">
        <v>2</v>
      </c>
      <c r="K6" s="21" t="n">
        <v>4</v>
      </c>
      <c r="L6" s="22">
        <f>IF($B$3="A",C6*F6,IF($B$3="B",D6*F6,E6*G6))</f>
        <v/>
      </c>
    </row>
    <row r="7">
      <c r="A7" s="10" t="inlineStr">
        <is>
          <t>Rubber, tires and elastomers</t>
        </is>
      </c>
      <c r="B7" s="6" t="inlineStr">
        <is>
          <t>1 · volume sink</t>
        </is>
      </c>
      <c r="C7" s="11" t="n">
        <v>2000</v>
      </c>
      <c r="D7" s="11" t="n">
        <v>5000</v>
      </c>
      <c r="E7" s="11" t="n">
        <v>18000</v>
      </c>
      <c r="F7" s="17" t="n">
        <v>12000</v>
      </c>
      <c r="G7" s="17" t="n">
        <v>6000</v>
      </c>
      <c r="H7" s="21" t="n">
        <v>10000</v>
      </c>
      <c r="I7" s="21" t="n">
        <v>40000</v>
      </c>
      <c r="J7" s="21" t="n">
        <v>3</v>
      </c>
      <c r="K7" s="21" t="n">
        <v>5</v>
      </c>
      <c r="L7" s="22">
        <f>IF($B$3="A",C7*F7,IF($B$3="B",D7*F7,E7*G7))</f>
        <v/>
      </c>
    </row>
    <row r="8">
      <c r="A8" s="10" t="inlineStr">
        <is>
          <t>Polymer composites and masterbatch</t>
        </is>
      </c>
      <c r="B8" s="6" t="inlineStr">
        <is>
          <t>1 · volume sink</t>
        </is>
      </c>
      <c r="C8" s="11" t="n">
        <v>1500</v>
      </c>
      <c r="D8" s="11" t="n">
        <v>3000</v>
      </c>
      <c r="E8" s="11" t="n">
        <v>9000</v>
      </c>
      <c r="F8" s="17" t="n">
        <v>25000</v>
      </c>
      <c r="G8" s="17" t="n">
        <v>14000</v>
      </c>
      <c r="H8" s="21" t="n">
        <v>5000</v>
      </c>
      <c r="I8" s="21" t="n">
        <v>25000</v>
      </c>
      <c r="J8" s="21" t="n">
        <v>3</v>
      </c>
      <c r="K8" s="21" t="n">
        <v>5</v>
      </c>
      <c r="L8" s="22">
        <f>IF($B$3="A",C8*F8,IF($B$3="B",D8*F8,E8*G8))</f>
        <v/>
      </c>
    </row>
    <row r="9">
      <c r="A9" s="10" t="inlineStr">
        <is>
          <t>Battery conductive additive</t>
        </is>
      </c>
      <c r="B9" s="6" t="inlineStr">
        <is>
          <t>2 · growth</t>
        </is>
      </c>
      <c r="C9" s="11" t="n">
        <v>1000</v>
      </c>
      <c r="D9" s="11" t="n">
        <v>2000</v>
      </c>
      <c r="E9" s="11" t="n">
        <v>4000</v>
      </c>
      <c r="F9" s="17" t="n">
        <v>50000</v>
      </c>
      <c r="G9" s="17" t="n">
        <v>30000</v>
      </c>
      <c r="H9" s="21" t="n">
        <v>2000</v>
      </c>
      <c r="I9" s="21" t="n">
        <v>8000</v>
      </c>
      <c r="J9" s="21" t="n">
        <v>3</v>
      </c>
      <c r="K9" s="21" t="n">
        <v>5</v>
      </c>
      <c r="L9" s="22">
        <f>IF($B$3="A",C9*F9,IF($B$3="B",D9*F9,E9*G9))</f>
        <v/>
      </c>
    </row>
    <row r="10">
      <c r="A10" s="10" t="inlineStr">
        <is>
          <t>Silicon-graphene composite anode</t>
        </is>
      </c>
      <c r="B10" s="6" t="inlineStr">
        <is>
          <t>2 · growth</t>
        </is>
      </c>
      <c r="C10" s="11" t="n">
        <v>700</v>
      </c>
      <c r="D10" s="11" t="n">
        <v>1500</v>
      </c>
      <c r="E10" s="11" t="n">
        <v>2500</v>
      </c>
      <c r="F10" s="17" t="n">
        <v>100000</v>
      </c>
      <c r="G10" s="17" t="n">
        <v>70000</v>
      </c>
      <c r="H10" s="21" t="n">
        <v>1000</v>
      </c>
      <c r="I10" s="21" t="n">
        <v>5000</v>
      </c>
      <c r="J10" s="21" t="n">
        <v>4</v>
      </c>
      <c r="K10" s="21" t="n">
        <v>5</v>
      </c>
      <c r="L10" s="22">
        <f>IF($B$3="A",C10*F10,IF($B$3="B",D10*F10,E10*G10))</f>
        <v/>
      </c>
    </row>
    <row r="11">
      <c r="A11" s="10" t="inlineStr">
        <is>
          <t>Coatings: anti-corrosion, marine</t>
        </is>
      </c>
      <c r="B11" s="6" t="inlineStr">
        <is>
          <t>2 · growth</t>
        </is>
      </c>
      <c r="C11" s="11" t="n">
        <v>1200</v>
      </c>
      <c r="D11" s="11" t="n">
        <v>2000</v>
      </c>
      <c r="E11" s="11" t="n">
        <v>4000</v>
      </c>
      <c r="F11" s="17" t="n">
        <v>50000</v>
      </c>
      <c r="G11" s="17" t="n">
        <v>30000</v>
      </c>
      <c r="H11" s="21" t="n">
        <v>2000</v>
      </c>
      <c r="I11" s="21" t="n">
        <v>8000</v>
      </c>
      <c r="J11" s="21" t="n">
        <v>2</v>
      </c>
      <c r="K11" s="21" t="n">
        <v>4</v>
      </c>
      <c r="L11" s="22">
        <f>IF($B$3="A",C11*F11,IF($B$3="B",D11*F11,E11*G11))</f>
        <v/>
      </c>
    </row>
    <row r="12">
      <c r="A12" s="10" t="inlineStr">
        <is>
          <t>Thermal management and data-center cooling</t>
        </is>
      </c>
      <c r="B12" s="6" t="inlineStr">
        <is>
          <t>2 · growth</t>
        </is>
      </c>
      <c r="C12" s="11" t="n">
        <v>400</v>
      </c>
      <c r="D12" s="11" t="n">
        <v>800</v>
      </c>
      <c r="E12" s="11" t="n">
        <v>1500</v>
      </c>
      <c r="F12" s="17" t="n">
        <v>200000</v>
      </c>
      <c r="G12" s="17" t="n">
        <v>100000</v>
      </c>
      <c r="H12" s="21" t="n">
        <v>500</v>
      </c>
      <c r="I12" s="21" t="n">
        <v>3000</v>
      </c>
      <c r="J12" s="21" t="n">
        <v>2</v>
      </c>
      <c r="K12" s="21" t="n">
        <v>4</v>
      </c>
      <c r="L12" s="22">
        <f>IF($B$3="A",C12*F12,IF($B$3="B",D12*F12,E12*G12))</f>
        <v/>
      </c>
    </row>
    <row r="13">
      <c r="A13" s="10" t="inlineStr">
        <is>
          <t>Aerospace and defense composites</t>
        </is>
      </c>
      <c r="B13" s="6" t="inlineStr">
        <is>
          <t>3 · specialty</t>
        </is>
      </c>
      <c r="C13" s="11" t="n">
        <v>150</v>
      </c>
      <c r="D13" s="11" t="n">
        <v>300</v>
      </c>
      <c r="E13" s="11" t="n">
        <v>600</v>
      </c>
      <c r="F13" s="17" t="n">
        <v>400000</v>
      </c>
      <c r="G13" s="17" t="n">
        <v>300000</v>
      </c>
      <c r="H13" s="21" t="n">
        <v>200</v>
      </c>
      <c r="I13" s="21" t="n">
        <v>1000</v>
      </c>
      <c r="J13" s="21" t="n">
        <v>3</v>
      </c>
      <c r="K13" s="21" t="n">
        <v>6</v>
      </c>
      <c r="L13" s="22">
        <f>IF($B$3="A",C13*F13,IF($B$3="B",D13*F13,E13*G13))</f>
        <v/>
      </c>
    </row>
    <row r="14">
      <c r="A14" s="10" t="inlineStr">
        <is>
          <t>Specialty: membranes, sensors, EMI</t>
        </is>
      </c>
      <c r="B14" s="6" t="inlineStr">
        <is>
          <t>3 · specialty</t>
        </is>
      </c>
      <c r="C14" s="11" t="n">
        <v>250</v>
      </c>
      <c r="D14" s="11" t="n">
        <v>400</v>
      </c>
      <c r="E14" s="11" t="n">
        <v>400</v>
      </c>
      <c r="F14" s="17" t="n">
        <v>250000</v>
      </c>
      <c r="G14" s="17" t="n">
        <v>150000</v>
      </c>
      <c r="H14" s="21" t="n">
        <v>100</v>
      </c>
      <c r="I14" s="21" t="n">
        <v>800</v>
      </c>
      <c r="J14" s="21" t="n">
        <v>1</v>
      </c>
      <c r="K14" s="21" t="n">
        <v>3</v>
      </c>
      <c r="L14" s="22">
        <f>IF($B$3="A",C14*F14,IF($B$3="B",D14*F14,E14*G14))</f>
        <v/>
      </c>
    </row>
    <row r="15">
      <c r="A15" s="3" t="inlineStr">
        <is>
          <t>Total</t>
        </is>
      </c>
      <c r="C15" s="23">
        <f>SUM(C5:C14)</f>
        <v/>
      </c>
      <c r="D15" s="23">
        <f>SUM(D5:D14)</f>
        <v/>
      </c>
      <c r="E15" s="23">
        <f>SUM(E5:E14)</f>
        <v/>
      </c>
      <c r="F15" s="24">
        <f>IFERROR(L15/IF($B$3="A",C15,IF($B$3="B",D15,E15)),0)</f>
        <v/>
      </c>
      <c r="G15" s="6" t="inlineStr">
        <is>
          <t>blended $/t</t>
        </is>
      </c>
      <c r="L15" s="25">
        <f>SUM(L5:L14)</f>
        <v/>
      </c>
    </row>
    <row r="17">
      <c r="A17" s="3" t="inlineStr">
        <is>
          <t>Reality checks</t>
        </is>
      </c>
    </row>
    <row r="18">
      <c r="A18" s="10" t="inlineStr">
        <is>
          <t>Selected book as a multiple of world demand</t>
        </is>
      </c>
      <c r="C18" s="26">
        <f>IF($B$3="A",C15,IF($B$3="B",D15,E15))/Assumptions!$B$29</f>
        <v/>
      </c>
    </row>
    <row r="19">
      <c r="A19" s="10" t="inlineStr">
        <is>
          <t>Selected book against the plant's carbon yield</t>
        </is>
      </c>
      <c r="C19" s="27">
        <f>IF($B$3="A",C15,IF($B$3="B",D15,E15))/(Assumptions!$B$7*Assumptions!$B$8*Assumptions!$B$9)</f>
        <v/>
      </c>
    </row>
    <row r="20">
      <c r="A20" s="10" t="inlineStr">
        <is>
          <t>CO₂ left for sequestration at full build</t>
        </is>
      </c>
      <c r="C20" s="27">
        <f>1-IF($B$3="A",C15,IF($B$3="B",D15,E15))/(Assumptions!$B$7*Assumptions!$B$9)</f>
        <v/>
      </c>
    </row>
    <row r="21">
      <c r="A21" s="10" t="inlineStr">
        <is>
          <t>Segments inside their published absorbable range</t>
        </is>
      </c>
      <c r="C21" s="28">
        <f>SUMPRODUCT((IF($B$3="A",C5:C14,IF($B$3="B",D5:D14,E5:E14))&lt;=I5:I14)*1)&amp;" of 10"</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A30"/>
  <sheetViews>
    <sheetView showGridLines="0" workbookViewId="0">
      <selection activeCell="A1" sqref="A1"/>
    </sheetView>
  </sheetViews>
  <sheetFormatPr baseColWidth="8" defaultRowHeight="15"/>
  <cols>
    <col width="42" customWidth="1" min="1" max="1"/>
    <col width="12"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s>
  <sheetData>
    <row r="1">
      <c r="A1" s="1" t="inlineStr">
        <is>
          <t>Segment ramp</t>
        </is>
      </c>
    </row>
    <row r="2">
      <c r="A2" s="6" t="inlineStr">
        <is>
          <t>Each segment starts only after its qualification cycle and reaches full volume over the years shown on Product Mix. Price in each year is interpolated from today's price toward the at-scale price in proportion to our own volume in that segment.</t>
        </is>
      </c>
    </row>
    <row r="4">
      <c r="A4" s="9" t="n"/>
      <c r="B4" s="29" t="inlineStr">
        <is>
          <t>Unit</t>
        </is>
      </c>
      <c r="C4" s="30" t="inlineStr">
        <is>
          <t>Y1</t>
        </is>
      </c>
      <c r="D4" s="30" t="inlineStr">
        <is>
          <t>Y2</t>
        </is>
      </c>
      <c r="E4" s="30" t="inlineStr">
        <is>
          <t>Y3</t>
        </is>
      </c>
      <c r="F4" s="30" t="inlineStr">
        <is>
          <t>Y4</t>
        </is>
      </c>
      <c r="G4" s="30" t="inlineStr">
        <is>
          <t>Y5</t>
        </is>
      </c>
      <c r="H4" s="30" t="inlineStr">
        <is>
          <t>Y6</t>
        </is>
      </c>
      <c r="I4" s="30" t="inlineStr">
        <is>
          <t>Y7</t>
        </is>
      </c>
      <c r="J4" s="30" t="inlineStr">
        <is>
          <t>Y8</t>
        </is>
      </c>
      <c r="K4" s="30" t="inlineStr">
        <is>
          <t>Y9</t>
        </is>
      </c>
      <c r="L4" s="30" t="inlineStr">
        <is>
          <t>Y10</t>
        </is>
      </c>
      <c r="M4" s="30" t="inlineStr">
        <is>
          <t>Y11</t>
        </is>
      </c>
      <c r="N4" s="30" t="inlineStr">
        <is>
          <t>Y12</t>
        </is>
      </c>
      <c r="O4" s="30" t="inlineStr">
        <is>
          <t>Y13</t>
        </is>
      </c>
      <c r="P4" s="30" t="inlineStr">
        <is>
          <t>Y14</t>
        </is>
      </c>
      <c r="Q4" s="30" t="inlineStr">
        <is>
          <t>Y15</t>
        </is>
      </c>
      <c r="R4" s="30" t="inlineStr">
        <is>
          <t>Y16</t>
        </is>
      </c>
      <c r="S4" s="30" t="inlineStr">
        <is>
          <t>Y17</t>
        </is>
      </c>
      <c r="T4" s="30" t="inlineStr">
        <is>
          <t>Y18</t>
        </is>
      </c>
      <c r="U4" s="30" t="inlineStr">
        <is>
          <t>Y19</t>
        </is>
      </c>
      <c r="V4" s="30" t="inlineStr">
        <is>
          <t>Y20</t>
        </is>
      </c>
      <c r="W4" s="30" t="inlineStr">
        <is>
          <t>Y21</t>
        </is>
      </c>
      <c r="X4" s="30" t="inlineStr">
        <is>
          <t>Y22</t>
        </is>
      </c>
      <c r="Y4" s="30" t="inlineStr">
        <is>
          <t>Y23</t>
        </is>
      </c>
      <c r="Z4" s="30" t="inlineStr">
        <is>
          <t>Y24</t>
        </is>
      </c>
      <c r="AA4" s="30" t="inlineStr">
        <is>
          <t>Y25</t>
        </is>
      </c>
    </row>
    <row r="6">
      <c r="A6" s="3" t="inlineStr">
        <is>
          <t>Volume by segment</t>
        </is>
      </c>
    </row>
    <row r="7">
      <c r="A7" s="10" t="inlineStr">
        <is>
          <t>Battery-grade graphite (anode)</t>
        </is>
      </c>
      <c r="B7" s="6" t="inlineStr">
        <is>
          <t>t/yr</t>
        </is>
      </c>
      <c r="C7" s="21">
        <f>IF('Product Mix'!$B$3="A",'Product Mix'!$C$5,IF('Product Mix'!$B$3="B",'Product Mix'!$D$5,'Product Mix'!$E$5))*MIN(1,MAX(0,(1-'Product Mix'!$J$5+1)/'Product Mix'!$K$5))</f>
        <v/>
      </c>
      <c r="D7" s="21">
        <f>IF('Product Mix'!$B$3="A",'Product Mix'!$C$5,IF('Product Mix'!$B$3="B",'Product Mix'!$D$5,'Product Mix'!$E$5))*MIN(1,MAX(0,(2-'Product Mix'!$J$5+1)/'Product Mix'!$K$5))</f>
        <v/>
      </c>
      <c r="E7" s="21">
        <f>IF('Product Mix'!$B$3="A",'Product Mix'!$C$5,IF('Product Mix'!$B$3="B",'Product Mix'!$D$5,'Product Mix'!$E$5))*MIN(1,MAX(0,(3-'Product Mix'!$J$5+1)/'Product Mix'!$K$5))</f>
        <v/>
      </c>
      <c r="F7" s="21">
        <f>IF('Product Mix'!$B$3="A",'Product Mix'!$C$5,IF('Product Mix'!$B$3="B",'Product Mix'!$D$5,'Product Mix'!$E$5))*MIN(1,MAX(0,(4-'Product Mix'!$J$5+1)/'Product Mix'!$K$5))</f>
        <v/>
      </c>
      <c r="G7" s="21">
        <f>IF('Product Mix'!$B$3="A",'Product Mix'!$C$5,IF('Product Mix'!$B$3="B",'Product Mix'!$D$5,'Product Mix'!$E$5))*MIN(1,MAX(0,(5-'Product Mix'!$J$5+1)/'Product Mix'!$K$5))</f>
        <v/>
      </c>
      <c r="H7" s="21">
        <f>IF('Product Mix'!$B$3="A",'Product Mix'!$C$5,IF('Product Mix'!$B$3="B",'Product Mix'!$D$5,'Product Mix'!$E$5))*MIN(1,MAX(0,(6-'Product Mix'!$J$5+1)/'Product Mix'!$K$5))</f>
        <v/>
      </c>
      <c r="I7" s="21">
        <f>IF('Product Mix'!$B$3="A",'Product Mix'!$C$5,IF('Product Mix'!$B$3="B",'Product Mix'!$D$5,'Product Mix'!$E$5))*MIN(1,MAX(0,(7-'Product Mix'!$J$5+1)/'Product Mix'!$K$5))</f>
        <v/>
      </c>
      <c r="J7" s="21">
        <f>IF('Product Mix'!$B$3="A",'Product Mix'!$C$5,IF('Product Mix'!$B$3="B",'Product Mix'!$D$5,'Product Mix'!$E$5))*MIN(1,MAX(0,(8-'Product Mix'!$J$5+1)/'Product Mix'!$K$5))</f>
        <v/>
      </c>
      <c r="K7" s="21">
        <f>IF('Product Mix'!$B$3="A",'Product Mix'!$C$5,IF('Product Mix'!$B$3="B",'Product Mix'!$D$5,'Product Mix'!$E$5))*MIN(1,MAX(0,(9-'Product Mix'!$J$5+1)/'Product Mix'!$K$5))</f>
        <v/>
      </c>
      <c r="L7" s="21">
        <f>IF('Product Mix'!$B$3="A",'Product Mix'!$C$5,IF('Product Mix'!$B$3="B",'Product Mix'!$D$5,'Product Mix'!$E$5))*MIN(1,MAX(0,(10-'Product Mix'!$J$5+1)/'Product Mix'!$K$5))</f>
        <v/>
      </c>
      <c r="M7" s="21">
        <f>IF('Product Mix'!$B$3="A",'Product Mix'!$C$5,IF('Product Mix'!$B$3="B",'Product Mix'!$D$5,'Product Mix'!$E$5))*MIN(1,MAX(0,(11-'Product Mix'!$J$5+1)/'Product Mix'!$K$5))</f>
        <v/>
      </c>
      <c r="N7" s="21">
        <f>IF('Product Mix'!$B$3="A",'Product Mix'!$C$5,IF('Product Mix'!$B$3="B",'Product Mix'!$D$5,'Product Mix'!$E$5))*MIN(1,MAX(0,(12-'Product Mix'!$J$5+1)/'Product Mix'!$K$5))</f>
        <v/>
      </c>
      <c r="O7" s="21">
        <f>IF('Product Mix'!$B$3="A",'Product Mix'!$C$5,IF('Product Mix'!$B$3="B",'Product Mix'!$D$5,'Product Mix'!$E$5))*MIN(1,MAX(0,(13-'Product Mix'!$J$5+1)/'Product Mix'!$K$5))</f>
        <v/>
      </c>
      <c r="P7" s="21">
        <f>IF('Product Mix'!$B$3="A",'Product Mix'!$C$5,IF('Product Mix'!$B$3="B",'Product Mix'!$D$5,'Product Mix'!$E$5))*MIN(1,MAX(0,(14-'Product Mix'!$J$5+1)/'Product Mix'!$K$5))</f>
        <v/>
      </c>
      <c r="Q7" s="21">
        <f>IF('Product Mix'!$B$3="A",'Product Mix'!$C$5,IF('Product Mix'!$B$3="B",'Product Mix'!$D$5,'Product Mix'!$E$5))*MIN(1,MAX(0,(15-'Product Mix'!$J$5+1)/'Product Mix'!$K$5))</f>
        <v/>
      </c>
      <c r="R7" s="21">
        <f>IF('Product Mix'!$B$3="A",'Product Mix'!$C$5,IF('Product Mix'!$B$3="B",'Product Mix'!$D$5,'Product Mix'!$E$5))*MIN(1,MAX(0,(16-'Product Mix'!$J$5+1)/'Product Mix'!$K$5))</f>
        <v/>
      </c>
      <c r="S7" s="21">
        <f>IF('Product Mix'!$B$3="A",'Product Mix'!$C$5,IF('Product Mix'!$B$3="B",'Product Mix'!$D$5,'Product Mix'!$E$5))*MIN(1,MAX(0,(17-'Product Mix'!$J$5+1)/'Product Mix'!$K$5))</f>
        <v/>
      </c>
      <c r="T7" s="21">
        <f>IF('Product Mix'!$B$3="A",'Product Mix'!$C$5,IF('Product Mix'!$B$3="B",'Product Mix'!$D$5,'Product Mix'!$E$5))*MIN(1,MAX(0,(18-'Product Mix'!$J$5+1)/'Product Mix'!$K$5))</f>
        <v/>
      </c>
      <c r="U7" s="21">
        <f>IF('Product Mix'!$B$3="A",'Product Mix'!$C$5,IF('Product Mix'!$B$3="B",'Product Mix'!$D$5,'Product Mix'!$E$5))*MIN(1,MAX(0,(19-'Product Mix'!$J$5+1)/'Product Mix'!$K$5))</f>
        <v/>
      </c>
      <c r="V7" s="21">
        <f>IF('Product Mix'!$B$3="A",'Product Mix'!$C$5,IF('Product Mix'!$B$3="B",'Product Mix'!$D$5,'Product Mix'!$E$5))*MIN(1,MAX(0,(20-'Product Mix'!$J$5+1)/'Product Mix'!$K$5))</f>
        <v/>
      </c>
      <c r="W7" s="21">
        <f>IF('Product Mix'!$B$3="A",'Product Mix'!$C$5,IF('Product Mix'!$B$3="B",'Product Mix'!$D$5,'Product Mix'!$E$5))*MIN(1,MAX(0,(21-'Product Mix'!$J$5+1)/'Product Mix'!$K$5))</f>
        <v/>
      </c>
      <c r="X7" s="21">
        <f>IF('Product Mix'!$B$3="A",'Product Mix'!$C$5,IF('Product Mix'!$B$3="B",'Product Mix'!$D$5,'Product Mix'!$E$5))*MIN(1,MAX(0,(22-'Product Mix'!$J$5+1)/'Product Mix'!$K$5))</f>
        <v/>
      </c>
      <c r="Y7" s="21">
        <f>IF('Product Mix'!$B$3="A",'Product Mix'!$C$5,IF('Product Mix'!$B$3="B",'Product Mix'!$D$5,'Product Mix'!$E$5))*MIN(1,MAX(0,(23-'Product Mix'!$J$5+1)/'Product Mix'!$K$5))</f>
        <v/>
      </c>
      <c r="Z7" s="21">
        <f>IF('Product Mix'!$B$3="A",'Product Mix'!$C$5,IF('Product Mix'!$B$3="B",'Product Mix'!$D$5,'Product Mix'!$E$5))*MIN(1,MAX(0,(24-'Product Mix'!$J$5+1)/'Product Mix'!$K$5))</f>
        <v/>
      </c>
      <c r="AA7" s="21">
        <f>IF('Product Mix'!$B$3="A",'Product Mix'!$C$5,IF('Product Mix'!$B$3="B",'Product Mix'!$D$5,'Product Mix'!$E$5))*MIN(1,MAX(0,(25-'Product Mix'!$J$5+1)/'Product Mix'!$K$5))</f>
        <v/>
      </c>
    </row>
    <row r="8">
      <c r="A8" s="10" t="inlineStr">
        <is>
          <t>Concrete and cement admixture</t>
        </is>
      </c>
      <c r="B8" s="6" t="inlineStr">
        <is>
          <t>t/yr</t>
        </is>
      </c>
      <c r="C8" s="21">
        <f>IF('Product Mix'!$B$3="A",'Product Mix'!$C$6,IF('Product Mix'!$B$3="B",'Product Mix'!$D$6,'Product Mix'!$E$6))*MIN(1,MAX(0,(1-'Product Mix'!$J$6+1)/'Product Mix'!$K$6))</f>
        <v/>
      </c>
      <c r="D8" s="21">
        <f>IF('Product Mix'!$B$3="A",'Product Mix'!$C$6,IF('Product Mix'!$B$3="B",'Product Mix'!$D$6,'Product Mix'!$E$6))*MIN(1,MAX(0,(2-'Product Mix'!$J$6+1)/'Product Mix'!$K$6))</f>
        <v/>
      </c>
      <c r="E8" s="21">
        <f>IF('Product Mix'!$B$3="A",'Product Mix'!$C$6,IF('Product Mix'!$B$3="B",'Product Mix'!$D$6,'Product Mix'!$E$6))*MIN(1,MAX(0,(3-'Product Mix'!$J$6+1)/'Product Mix'!$K$6))</f>
        <v/>
      </c>
      <c r="F8" s="21">
        <f>IF('Product Mix'!$B$3="A",'Product Mix'!$C$6,IF('Product Mix'!$B$3="B",'Product Mix'!$D$6,'Product Mix'!$E$6))*MIN(1,MAX(0,(4-'Product Mix'!$J$6+1)/'Product Mix'!$K$6))</f>
        <v/>
      </c>
      <c r="G8" s="21">
        <f>IF('Product Mix'!$B$3="A",'Product Mix'!$C$6,IF('Product Mix'!$B$3="B",'Product Mix'!$D$6,'Product Mix'!$E$6))*MIN(1,MAX(0,(5-'Product Mix'!$J$6+1)/'Product Mix'!$K$6))</f>
        <v/>
      </c>
      <c r="H8" s="21">
        <f>IF('Product Mix'!$B$3="A",'Product Mix'!$C$6,IF('Product Mix'!$B$3="B",'Product Mix'!$D$6,'Product Mix'!$E$6))*MIN(1,MAX(0,(6-'Product Mix'!$J$6+1)/'Product Mix'!$K$6))</f>
        <v/>
      </c>
      <c r="I8" s="21">
        <f>IF('Product Mix'!$B$3="A",'Product Mix'!$C$6,IF('Product Mix'!$B$3="B",'Product Mix'!$D$6,'Product Mix'!$E$6))*MIN(1,MAX(0,(7-'Product Mix'!$J$6+1)/'Product Mix'!$K$6))</f>
        <v/>
      </c>
      <c r="J8" s="21">
        <f>IF('Product Mix'!$B$3="A",'Product Mix'!$C$6,IF('Product Mix'!$B$3="B",'Product Mix'!$D$6,'Product Mix'!$E$6))*MIN(1,MAX(0,(8-'Product Mix'!$J$6+1)/'Product Mix'!$K$6))</f>
        <v/>
      </c>
      <c r="K8" s="21">
        <f>IF('Product Mix'!$B$3="A",'Product Mix'!$C$6,IF('Product Mix'!$B$3="B",'Product Mix'!$D$6,'Product Mix'!$E$6))*MIN(1,MAX(0,(9-'Product Mix'!$J$6+1)/'Product Mix'!$K$6))</f>
        <v/>
      </c>
      <c r="L8" s="21">
        <f>IF('Product Mix'!$B$3="A",'Product Mix'!$C$6,IF('Product Mix'!$B$3="B",'Product Mix'!$D$6,'Product Mix'!$E$6))*MIN(1,MAX(0,(10-'Product Mix'!$J$6+1)/'Product Mix'!$K$6))</f>
        <v/>
      </c>
      <c r="M8" s="21">
        <f>IF('Product Mix'!$B$3="A",'Product Mix'!$C$6,IF('Product Mix'!$B$3="B",'Product Mix'!$D$6,'Product Mix'!$E$6))*MIN(1,MAX(0,(11-'Product Mix'!$J$6+1)/'Product Mix'!$K$6))</f>
        <v/>
      </c>
      <c r="N8" s="21">
        <f>IF('Product Mix'!$B$3="A",'Product Mix'!$C$6,IF('Product Mix'!$B$3="B",'Product Mix'!$D$6,'Product Mix'!$E$6))*MIN(1,MAX(0,(12-'Product Mix'!$J$6+1)/'Product Mix'!$K$6))</f>
        <v/>
      </c>
      <c r="O8" s="21">
        <f>IF('Product Mix'!$B$3="A",'Product Mix'!$C$6,IF('Product Mix'!$B$3="B",'Product Mix'!$D$6,'Product Mix'!$E$6))*MIN(1,MAX(0,(13-'Product Mix'!$J$6+1)/'Product Mix'!$K$6))</f>
        <v/>
      </c>
      <c r="P8" s="21">
        <f>IF('Product Mix'!$B$3="A",'Product Mix'!$C$6,IF('Product Mix'!$B$3="B",'Product Mix'!$D$6,'Product Mix'!$E$6))*MIN(1,MAX(0,(14-'Product Mix'!$J$6+1)/'Product Mix'!$K$6))</f>
        <v/>
      </c>
      <c r="Q8" s="21">
        <f>IF('Product Mix'!$B$3="A",'Product Mix'!$C$6,IF('Product Mix'!$B$3="B",'Product Mix'!$D$6,'Product Mix'!$E$6))*MIN(1,MAX(0,(15-'Product Mix'!$J$6+1)/'Product Mix'!$K$6))</f>
        <v/>
      </c>
      <c r="R8" s="21">
        <f>IF('Product Mix'!$B$3="A",'Product Mix'!$C$6,IF('Product Mix'!$B$3="B",'Product Mix'!$D$6,'Product Mix'!$E$6))*MIN(1,MAX(0,(16-'Product Mix'!$J$6+1)/'Product Mix'!$K$6))</f>
        <v/>
      </c>
      <c r="S8" s="21">
        <f>IF('Product Mix'!$B$3="A",'Product Mix'!$C$6,IF('Product Mix'!$B$3="B",'Product Mix'!$D$6,'Product Mix'!$E$6))*MIN(1,MAX(0,(17-'Product Mix'!$J$6+1)/'Product Mix'!$K$6))</f>
        <v/>
      </c>
      <c r="T8" s="21">
        <f>IF('Product Mix'!$B$3="A",'Product Mix'!$C$6,IF('Product Mix'!$B$3="B",'Product Mix'!$D$6,'Product Mix'!$E$6))*MIN(1,MAX(0,(18-'Product Mix'!$J$6+1)/'Product Mix'!$K$6))</f>
        <v/>
      </c>
      <c r="U8" s="21">
        <f>IF('Product Mix'!$B$3="A",'Product Mix'!$C$6,IF('Product Mix'!$B$3="B",'Product Mix'!$D$6,'Product Mix'!$E$6))*MIN(1,MAX(0,(19-'Product Mix'!$J$6+1)/'Product Mix'!$K$6))</f>
        <v/>
      </c>
      <c r="V8" s="21">
        <f>IF('Product Mix'!$B$3="A",'Product Mix'!$C$6,IF('Product Mix'!$B$3="B",'Product Mix'!$D$6,'Product Mix'!$E$6))*MIN(1,MAX(0,(20-'Product Mix'!$J$6+1)/'Product Mix'!$K$6))</f>
        <v/>
      </c>
      <c r="W8" s="21">
        <f>IF('Product Mix'!$B$3="A",'Product Mix'!$C$6,IF('Product Mix'!$B$3="B",'Product Mix'!$D$6,'Product Mix'!$E$6))*MIN(1,MAX(0,(21-'Product Mix'!$J$6+1)/'Product Mix'!$K$6))</f>
        <v/>
      </c>
      <c r="X8" s="21">
        <f>IF('Product Mix'!$B$3="A",'Product Mix'!$C$6,IF('Product Mix'!$B$3="B",'Product Mix'!$D$6,'Product Mix'!$E$6))*MIN(1,MAX(0,(22-'Product Mix'!$J$6+1)/'Product Mix'!$K$6))</f>
        <v/>
      </c>
      <c r="Y8" s="21">
        <f>IF('Product Mix'!$B$3="A",'Product Mix'!$C$6,IF('Product Mix'!$B$3="B",'Product Mix'!$D$6,'Product Mix'!$E$6))*MIN(1,MAX(0,(23-'Product Mix'!$J$6+1)/'Product Mix'!$K$6))</f>
        <v/>
      </c>
      <c r="Z8" s="21">
        <f>IF('Product Mix'!$B$3="A",'Product Mix'!$C$6,IF('Product Mix'!$B$3="B",'Product Mix'!$D$6,'Product Mix'!$E$6))*MIN(1,MAX(0,(24-'Product Mix'!$J$6+1)/'Product Mix'!$K$6))</f>
        <v/>
      </c>
      <c r="AA8" s="21">
        <f>IF('Product Mix'!$B$3="A",'Product Mix'!$C$6,IF('Product Mix'!$B$3="B",'Product Mix'!$D$6,'Product Mix'!$E$6))*MIN(1,MAX(0,(25-'Product Mix'!$J$6+1)/'Product Mix'!$K$6))</f>
        <v/>
      </c>
    </row>
    <row r="9">
      <c r="A9" s="10" t="inlineStr">
        <is>
          <t>Rubber, tires and elastomers</t>
        </is>
      </c>
      <c r="B9" s="6" t="inlineStr">
        <is>
          <t>t/yr</t>
        </is>
      </c>
      <c r="C9" s="21">
        <f>IF('Product Mix'!$B$3="A",'Product Mix'!$C$7,IF('Product Mix'!$B$3="B",'Product Mix'!$D$7,'Product Mix'!$E$7))*MIN(1,MAX(0,(1-'Product Mix'!$J$7+1)/'Product Mix'!$K$7))</f>
        <v/>
      </c>
      <c r="D9" s="21">
        <f>IF('Product Mix'!$B$3="A",'Product Mix'!$C$7,IF('Product Mix'!$B$3="B",'Product Mix'!$D$7,'Product Mix'!$E$7))*MIN(1,MAX(0,(2-'Product Mix'!$J$7+1)/'Product Mix'!$K$7))</f>
        <v/>
      </c>
      <c r="E9" s="21">
        <f>IF('Product Mix'!$B$3="A",'Product Mix'!$C$7,IF('Product Mix'!$B$3="B",'Product Mix'!$D$7,'Product Mix'!$E$7))*MIN(1,MAX(0,(3-'Product Mix'!$J$7+1)/'Product Mix'!$K$7))</f>
        <v/>
      </c>
      <c r="F9" s="21">
        <f>IF('Product Mix'!$B$3="A",'Product Mix'!$C$7,IF('Product Mix'!$B$3="B",'Product Mix'!$D$7,'Product Mix'!$E$7))*MIN(1,MAX(0,(4-'Product Mix'!$J$7+1)/'Product Mix'!$K$7))</f>
        <v/>
      </c>
      <c r="G9" s="21">
        <f>IF('Product Mix'!$B$3="A",'Product Mix'!$C$7,IF('Product Mix'!$B$3="B",'Product Mix'!$D$7,'Product Mix'!$E$7))*MIN(1,MAX(0,(5-'Product Mix'!$J$7+1)/'Product Mix'!$K$7))</f>
        <v/>
      </c>
      <c r="H9" s="21">
        <f>IF('Product Mix'!$B$3="A",'Product Mix'!$C$7,IF('Product Mix'!$B$3="B",'Product Mix'!$D$7,'Product Mix'!$E$7))*MIN(1,MAX(0,(6-'Product Mix'!$J$7+1)/'Product Mix'!$K$7))</f>
        <v/>
      </c>
      <c r="I9" s="21">
        <f>IF('Product Mix'!$B$3="A",'Product Mix'!$C$7,IF('Product Mix'!$B$3="B",'Product Mix'!$D$7,'Product Mix'!$E$7))*MIN(1,MAX(0,(7-'Product Mix'!$J$7+1)/'Product Mix'!$K$7))</f>
        <v/>
      </c>
      <c r="J9" s="21">
        <f>IF('Product Mix'!$B$3="A",'Product Mix'!$C$7,IF('Product Mix'!$B$3="B",'Product Mix'!$D$7,'Product Mix'!$E$7))*MIN(1,MAX(0,(8-'Product Mix'!$J$7+1)/'Product Mix'!$K$7))</f>
        <v/>
      </c>
      <c r="K9" s="21">
        <f>IF('Product Mix'!$B$3="A",'Product Mix'!$C$7,IF('Product Mix'!$B$3="B",'Product Mix'!$D$7,'Product Mix'!$E$7))*MIN(1,MAX(0,(9-'Product Mix'!$J$7+1)/'Product Mix'!$K$7))</f>
        <v/>
      </c>
      <c r="L9" s="21">
        <f>IF('Product Mix'!$B$3="A",'Product Mix'!$C$7,IF('Product Mix'!$B$3="B",'Product Mix'!$D$7,'Product Mix'!$E$7))*MIN(1,MAX(0,(10-'Product Mix'!$J$7+1)/'Product Mix'!$K$7))</f>
        <v/>
      </c>
      <c r="M9" s="21">
        <f>IF('Product Mix'!$B$3="A",'Product Mix'!$C$7,IF('Product Mix'!$B$3="B",'Product Mix'!$D$7,'Product Mix'!$E$7))*MIN(1,MAX(0,(11-'Product Mix'!$J$7+1)/'Product Mix'!$K$7))</f>
        <v/>
      </c>
      <c r="N9" s="21">
        <f>IF('Product Mix'!$B$3="A",'Product Mix'!$C$7,IF('Product Mix'!$B$3="B",'Product Mix'!$D$7,'Product Mix'!$E$7))*MIN(1,MAX(0,(12-'Product Mix'!$J$7+1)/'Product Mix'!$K$7))</f>
        <v/>
      </c>
      <c r="O9" s="21">
        <f>IF('Product Mix'!$B$3="A",'Product Mix'!$C$7,IF('Product Mix'!$B$3="B",'Product Mix'!$D$7,'Product Mix'!$E$7))*MIN(1,MAX(0,(13-'Product Mix'!$J$7+1)/'Product Mix'!$K$7))</f>
        <v/>
      </c>
      <c r="P9" s="21">
        <f>IF('Product Mix'!$B$3="A",'Product Mix'!$C$7,IF('Product Mix'!$B$3="B",'Product Mix'!$D$7,'Product Mix'!$E$7))*MIN(1,MAX(0,(14-'Product Mix'!$J$7+1)/'Product Mix'!$K$7))</f>
        <v/>
      </c>
      <c r="Q9" s="21">
        <f>IF('Product Mix'!$B$3="A",'Product Mix'!$C$7,IF('Product Mix'!$B$3="B",'Product Mix'!$D$7,'Product Mix'!$E$7))*MIN(1,MAX(0,(15-'Product Mix'!$J$7+1)/'Product Mix'!$K$7))</f>
        <v/>
      </c>
      <c r="R9" s="21">
        <f>IF('Product Mix'!$B$3="A",'Product Mix'!$C$7,IF('Product Mix'!$B$3="B",'Product Mix'!$D$7,'Product Mix'!$E$7))*MIN(1,MAX(0,(16-'Product Mix'!$J$7+1)/'Product Mix'!$K$7))</f>
        <v/>
      </c>
      <c r="S9" s="21">
        <f>IF('Product Mix'!$B$3="A",'Product Mix'!$C$7,IF('Product Mix'!$B$3="B",'Product Mix'!$D$7,'Product Mix'!$E$7))*MIN(1,MAX(0,(17-'Product Mix'!$J$7+1)/'Product Mix'!$K$7))</f>
        <v/>
      </c>
      <c r="T9" s="21">
        <f>IF('Product Mix'!$B$3="A",'Product Mix'!$C$7,IF('Product Mix'!$B$3="B",'Product Mix'!$D$7,'Product Mix'!$E$7))*MIN(1,MAX(0,(18-'Product Mix'!$J$7+1)/'Product Mix'!$K$7))</f>
        <v/>
      </c>
      <c r="U9" s="21">
        <f>IF('Product Mix'!$B$3="A",'Product Mix'!$C$7,IF('Product Mix'!$B$3="B",'Product Mix'!$D$7,'Product Mix'!$E$7))*MIN(1,MAX(0,(19-'Product Mix'!$J$7+1)/'Product Mix'!$K$7))</f>
        <v/>
      </c>
      <c r="V9" s="21">
        <f>IF('Product Mix'!$B$3="A",'Product Mix'!$C$7,IF('Product Mix'!$B$3="B",'Product Mix'!$D$7,'Product Mix'!$E$7))*MIN(1,MAX(0,(20-'Product Mix'!$J$7+1)/'Product Mix'!$K$7))</f>
        <v/>
      </c>
      <c r="W9" s="21">
        <f>IF('Product Mix'!$B$3="A",'Product Mix'!$C$7,IF('Product Mix'!$B$3="B",'Product Mix'!$D$7,'Product Mix'!$E$7))*MIN(1,MAX(0,(21-'Product Mix'!$J$7+1)/'Product Mix'!$K$7))</f>
        <v/>
      </c>
      <c r="X9" s="21">
        <f>IF('Product Mix'!$B$3="A",'Product Mix'!$C$7,IF('Product Mix'!$B$3="B",'Product Mix'!$D$7,'Product Mix'!$E$7))*MIN(1,MAX(0,(22-'Product Mix'!$J$7+1)/'Product Mix'!$K$7))</f>
        <v/>
      </c>
      <c r="Y9" s="21">
        <f>IF('Product Mix'!$B$3="A",'Product Mix'!$C$7,IF('Product Mix'!$B$3="B",'Product Mix'!$D$7,'Product Mix'!$E$7))*MIN(1,MAX(0,(23-'Product Mix'!$J$7+1)/'Product Mix'!$K$7))</f>
        <v/>
      </c>
      <c r="Z9" s="21">
        <f>IF('Product Mix'!$B$3="A",'Product Mix'!$C$7,IF('Product Mix'!$B$3="B",'Product Mix'!$D$7,'Product Mix'!$E$7))*MIN(1,MAX(0,(24-'Product Mix'!$J$7+1)/'Product Mix'!$K$7))</f>
        <v/>
      </c>
      <c r="AA9" s="21">
        <f>IF('Product Mix'!$B$3="A",'Product Mix'!$C$7,IF('Product Mix'!$B$3="B",'Product Mix'!$D$7,'Product Mix'!$E$7))*MIN(1,MAX(0,(25-'Product Mix'!$J$7+1)/'Product Mix'!$K$7))</f>
        <v/>
      </c>
    </row>
    <row r="10">
      <c r="A10" s="10" t="inlineStr">
        <is>
          <t>Polymer composites and masterbatch</t>
        </is>
      </c>
      <c r="B10" s="6" t="inlineStr">
        <is>
          <t>t/yr</t>
        </is>
      </c>
      <c r="C10" s="21">
        <f>IF('Product Mix'!$B$3="A",'Product Mix'!$C$8,IF('Product Mix'!$B$3="B",'Product Mix'!$D$8,'Product Mix'!$E$8))*MIN(1,MAX(0,(1-'Product Mix'!$J$8+1)/'Product Mix'!$K$8))</f>
        <v/>
      </c>
      <c r="D10" s="21">
        <f>IF('Product Mix'!$B$3="A",'Product Mix'!$C$8,IF('Product Mix'!$B$3="B",'Product Mix'!$D$8,'Product Mix'!$E$8))*MIN(1,MAX(0,(2-'Product Mix'!$J$8+1)/'Product Mix'!$K$8))</f>
        <v/>
      </c>
      <c r="E10" s="21">
        <f>IF('Product Mix'!$B$3="A",'Product Mix'!$C$8,IF('Product Mix'!$B$3="B",'Product Mix'!$D$8,'Product Mix'!$E$8))*MIN(1,MAX(0,(3-'Product Mix'!$J$8+1)/'Product Mix'!$K$8))</f>
        <v/>
      </c>
      <c r="F10" s="21">
        <f>IF('Product Mix'!$B$3="A",'Product Mix'!$C$8,IF('Product Mix'!$B$3="B",'Product Mix'!$D$8,'Product Mix'!$E$8))*MIN(1,MAX(0,(4-'Product Mix'!$J$8+1)/'Product Mix'!$K$8))</f>
        <v/>
      </c>
      <c r="G10" s="21">
        <f>IF('Product Mix'!$B$3="A",'Product Mix'!$C$8,IF('Product Mix'!$B$3="B",'Product Mix'!$D$8,'Product Mix'!$E$8))*MIN(1,MAX(0,(5-'Product Mix'!$J$8+1)/'Product Mix'!$K$8))</f>
        <v/>
      </c>
      <c r="H10" s="21">
        <f>IF('Product Mix'!$B$3="A",'Product Mix'!$C$8,IF('Product Mix'!$B$3="B",'Product Mix'!$D$8,'Product Mix'!$E$8))*MIN(1,MAX(0,(6-'Product Mix'!$J$8+1)/'Product Mix'!$K$8))</f>
        <v/>
      </c>
      <c r="I10" s="21">
        <f>IF('Product Mix'!$B$3="A",'Product Mix'!$C$8,IF('Product Mix'!$B$3="B",'Product Mix'!$D$8,'Product Mix'!$E$8))*MIN(1,MAX(0,(7-'Product Mix'!$J$8+1)/'Product Mix'!$K$8))</f>
        <v/>
      </c>
      <c r="J10" s="21">
        <f>IF('Product Mix'!$B$3="A",'Product Mix'!$C$8,IF('Product Mix'!$B$3="B",'Product Mix'!$D$8,'Product Mix'!$E$8))*MIN(1,MAX(0,(8-'Product Mix'!$J$8+1)/'Product Mix'!$K$8))</f>
        <v/>
      </c>
      <c r="K10" s="21">
        <f>IF('Product Mix'!$B$3="A",'Product Mix'!$C$8,IF('Product Mix'!$B$3="B",'Product Mix'!$D$8,'Product Mix'!$E$8))*MIN(1,MAX(0,(9-'Product Mix'!$J$8+1)/'Product Mix'!$K$8))</f>
        <v/>
      </c>
      <c r="L10" s="21">
        <f>IF('Product Mix'!$B$3="A",'Product Mix'!$C$8,IF('Product Mix'!$B$3="B",'Product Mix'!$D$8,'Product Mix'!$E$8))*MIN(1,MAX(0,(10-'Product Mix'!$J$8+1)/'Product Mix'!$K$8))</f>
        <v/>
      </c>
      <c r="M10" s="21">
        <f>IF('Product Mix'!$B$3="A",'Product Mix'!$C$8,IF('Product Mix'!$B$3="B",'Product Mix'!$D$8,'Product Mix'!$E$8))*MIN(1,MAX(0,(11-'Product Mix'!$J$8+1)/'Product Mix'!$K$8))</f>
        <v/>
      </c>
      <c r="N10" s="21">
        <f>IF('Product Mix'!$B$3="A",'Product Mix'!$C$8,IF('Product Mix'!$B$3="B",'Product Mix'!$D$8,'Product Mix'!$E$8))*MIN(1,MAX(0,(12-'Product Mix'!$J$8+1)/'Product Mix'!$K$8))</f>
        <v/>
      </c>
      <c r="O10" s="21">
        <f>IF('Product Mix'!$B$3="A",'Product Mix'!$C$8,IF('Product Mix'!$B$3="B",'Product Mix'!$D$8,'Product Mix'!$E$8))*MIN(1,MAX(0,(13-'Product Mix'!$J$8+1)/'Product Mix'!$K$8))</f>
        <v/>
      </c>
      <c r="P10" s="21">
        <f>IF('Product Mix'!$B$3="A",'Product Mix'!$C$8,IF('Product Mix'!$B$3="B",'Product Mix'!$D$8,'Product Mix'!$E$8))*MIN(1,MAX(0,(14-'Product Mix'!$J$8+1)/'Product Mix'!$K$8))</f>
        <v/>
      </c>
      <c r="Q10" s="21">
        <f>IF('Product Mix'!$B$3="A",'Product Mix'!$C$8,IF('Product Mix'!$B$3="B",'Product Mix'!$D$8,'Product Mix'!$E$8))*MIN(1,MAX(0,(15-'Product Mix'!$J$8+1)/'Product Mix'!$K$8))</f>
        <v/>
      </c>
      <c r="R10" s="21">
        <f>IF('Product Mix'!$B$3="A",'Product Mix'!$C$8,IF('Product Mix'!$B$3="B",'Product Mix'!$D$8,'Product Mix'!$E$8))*MIN(1,MAX(0,(16-'Product Mix'!$J$8+1)/'Product Mix'!$K$8))</f>
        <v/>
      </c>
      <c r="S10" s="21">
        <f>IF('Product Mix'!$B$3="A",'Product Mix'!$C$8,IF('Product Mix'!$B$3="B",'Product Mix'!$D$8,'Product Mix'!$E$8))*MIN(1,MAX(0,(17-'Product Mix'!$J$8+1)/'Product Mix'!$K$8))</f>
        <v/>
      </c>
      <c r="T10" s="21">
        <f>IF('Product Mix'!$B$3="A",'Product Mix'!$C$8,IF('Product Mix'!$B$3="B",'Product Mix'!$D$8,'Product Mix'!$E$8))*MIN(1,MAX(0,(18-'Product Mix'!$J$8+1)/'Product Mix'!$K$8))</f>
        <v/>
      </c>
      <c r="U10" s="21">
        <f>IF('Product Mix'!$B$3="A",'Product Mix'!$C$8,IF('Product Mix'!$B$3="B",'Product Mix'!$D$8,'Product Mix'!$E$8))*MIN(1,MAX(0,(19-'Product Mix'!$J$8+1)/'Product Mix'!$K$8))</f>
        <v/>
      </c>
      <c r="V10" s="21">
        <f>IF('Product Mix'!$B$3="A",'Product Mix'!$C$8,IF('Product Mix'!$B$3="B",'Product Mix'!$D$8,'Product Mix'!$E$8))*MIN(1,MAX(0,(20-'Product Mix'!$J$8+1)/'Product Mix'!$K$8))</f>
        <v/>
      </c>
      <c r="W10" s="21">
        <f>IF('Product Mix'!$B$3="A",'Product Mix'!$C$8,IF('Product Mix'!$B$3="B",'Product Mix'!$D$8,'Product Mix'!$E$8))*MIN(1,MAX(0,(21-'Product Mix'!$J$8+1)/'Product Mix'!$K$8))</f>
        <v/>
      </c>
      <c r="X10" s="21">
        <f>IF('Product Mix'!$B$3="A",'Product Mix'!$C$8,IF('Product Mix'!$B$3="B",'Product Mix'!$D$8,'Product Mix'!$E$8))*MIN(1,MAX(0,(22-'Product Mix'!$J$8+1)/'Product Mix'!$K$8))</f>
        <v/>
      </c>
      <c r="Y10" s="21">
        <f>IF('Product Mix'!$B$3="A",'Product Mix'!$C$8,IF('Product Mix'!$B$3="B",'Product Mix'!$D$8,'Product Mix'!$E$8))*MIN(1,MAX(0,(23-'Product Mix'!$J$8+1)/'Product Mix'!$K$8))</f>
        <v/>
      </c>
      <c r="Z10" s="21">
        <f>IF('Product Mix'!$B$3="A",'Product Mix'!$C$8,IF('Product Mix'!$B$3="B",'Product Mix'!$D$8,'Product Mix'!$E$8))*MIN(1,MAX(0,(24-'Product Mix'!$J$8+1)/'Product Mix'!$K$8))</f>
        <v/>
      </c>
      <c r="AA10" s="21">
        <f>IF('Product Mix'!$B$3="A",'Product Mix'!$C$8,IF('Product Mix'!$B$3="B",'Product Mix'!$D$8,'Product Mix'!$E$8))*MIN(1,MAX(0,(25-'Product Mix'!$J$8+1)/'Product Mix'!$K$8))</f>
        <v/>
      </c>
    </row>
    <row r="11">
      <c r="A11" s="10" t="inlineStr">
        <is>
          <t>Battery conductive additive</t>
        </is>
      </c>
      <c r="B11" s="6" t="inlineStr">
        <is>
          <t>t/yr</t>
        </is>
      </c>
      <c r="C11" s="21">
        <f>IF('Product Mix'!$B$3="A",'Product Mix'!$C$9,IF('Product Mix'!$B$3="B",'Product Mix'!$D$9,'Product Mix'!$E$9))*MIN(1,MAX(0,(1-'Product Mix'!$J$9+1)/'Product Mix'!$K$9))</f>
        <v/>
      </c>
      <c r="D11" s="21">
        <f>IF('Product Mix'!$B$3="A",'Product Mix'!$C$9,IF('Product Mix'!$B$3="B",'Product Mix'!$D$9,'Product Mix'!$E$9))*MIN(1,MAX(0,(2-'Product Mix'!$J$9+1)/'Product Mix'!$K$9))</f>
        <v/>
      </c>
      <c r="E11" s="21">
        <f>IF('Product Mix'!$B$3="A",'Product Mix'!$C$9,IF('Product Mix'!$B$3="B",'Product Mix'!$D$9,'Product Mix'!$E$9))*MIN(1,MAX(0,(3-'Product Mix'!$J$9+1)/'Product Mix'!$K$9))</f>
        <v/>
      </c>
      <c r="F11" s="21">
        <f>IF('Product Mix'!$B$3="A",'Product Mix'!$C$9,IF('Product Mix'!$B$3="B",'Product Mix'!$D$9,'Product Mix'!$E$9))*MIN(1,MAX(0,(4-'Product Mix'!$J$9+1)/'Product Mix'!$K$9))</f>
        <v/>
      </c>
      <c r="G11" s="21">
        <f>IF('Product Mix'!$B$3="A",'Product Mix'!$C$9,IF('Product Mix'!$B$3="B",'Product Mix'!$D$9,'Product Mix'!$E$9))*MIN(1,MAX(0,(5-'Product Mix'!$J$9+1)/'Product Mix'!$K$9))</f>
        <v/>
      </c>
      <c r="H11" s="21">
        <f>IF('Product Mix'!$B$3="A",'Product Mix'!$C$9,IF('Product Mix'!$B$3="B",'Product Mix'!$D$9,'Product Mix'!$E$9))*MIN(1,MAX(0,(6-'Product Mix'!$J$9+1)/'Product Mix'!$K$9))</f>
        <v/>
      </c>
      <c r="I11" s="21">
        <f>IF('Product Mix'!$B$3="A",'Product Mix'!$C$9,IF('Product Mix'!$B$3="B",'Product Mix'!$D$9,'Product Mix'!$E$9))*MIN(1,MAX(0,(7-'Product Mix'!$J$9+1)/'Product Mix'!$K$9))</f>
        <v/>
      </c>
      <c r="J11" s="21">
        <f>IF('Product Mix'!$B$3="A",'Product Mix'!$C$9,IF('Product Mix'!$B$3="B",'Product Mix'!$D$9,'Product Mix'!$E$9))*MIN(1,MAX(0,(8-'Product Mix'!$J$9+1)/'Product Mix'!$K$9))</f>
        <v/>
      </c>
      <c r="K11" s="21">
        <f>IF('Product Mix'!$B$3="A",'Product Mix'!$C$9,IF('Product Mix'!$B$3="B",'Product Mix'!$D$9,'Product Mix'!$E$9))*MIN(1,MAX(0,(9-'Product Mix'!$J$9+1)/'Product Mix'!$K$9))</f>
        <v/>
      </c>
      <c r="L11" s="21">
        <f>IF('Product Mix'!$B$3="A",'Product Mix'!$C$9,IF('Product Mix'!$B$3="B",'Product Mix'!$D$9,'Product Mix'!$E$9))*MIN(1,MAX(0,(10-'Product Mix'!$J$9+1)/'Product Mix'!$K$9))</f>
        <v/>
      </c>
      <c r="M11" s="21">
        <f>IF('Product Mix'!$B$3="A",'Product Mix'!$C$9,IF('Product Mix'!$B$3="B",'Product Mix'!$D$9,'Product Mix'!$E$9))*MIN(1,MAX(0,(11-'Product Mix'!$J$9+1)/'Product Mix'!$K$9))</f>
        <v/>
      </c>
      <c r="N11" s="21">
        <f>IF('Product Mix'!$B$3="A",'Product Mix'!$C$9,IF('Product Mix'!$B$3="B",'Product Mix'!$D$9,'Product Mix'!$E$9))*MIN(1,MAX(0,(12-'Product Mix'!$J$9+1)/'Product Mix'!$K$9))</f>
        <v/>
      </c>
      <c r="O11" s="21">
        <f>IF('Product Mix'!$B$3="A",'Product Mix'!$C$9,IF('Product Mix'!$B$3="B",'Product Mix'!$D$9,'Product Mix'!$E$9))*MIN(1,MAX(0,(13-'Product Mix'!$J$9+1)/'Product Mix'!$K$9))</f>
        <v/>
      </c>
      <c r="P11" s="21">
        <f>IF('Product Mix'!$B$3="A",'Product Mix'!$C$9,IF('Product Mix'!$B$3="B",'Product Mix'!$D$9,'Product Mix'!$E$9))*MIN(1,MAX(0,(14-'Product Mix'!$J$9+1)/'Product Mix'!$K$9))</f>
        <v/>
      </c>
      <c r="Q11" s="21">
        <f>IF('Product Mix'!$B$3="A",'Product Mix'!$C$9,IF('Product Mix'!$B$3="B",'Product Mix'!$D$9,'Product Mix'!$E$9))*MIN(1,MAX(0,(15-'Product Mix'!$J$9+1)/'Product Mix'!$K$9))</f>
        <v/>
      </c>
      <c r="R11" s="21">
        <f>IF('Product Mix'!$B$3="A",'Product Mix'!$C$9,IF('Product Mix'!$B$3="B",'Product Mix'!$D$9,'Product Mix'!$E$9))*MIN(1,MAX(0,(16-'Product Mix'!$J$9+1)/'Product Mix'!$K$9))</f>
        <v/>
      </c>
      <c r="S11" s="21">
        <f>IF('Product Mix'!$B$3="A",'Product Mix'!$C$9,IF('Product Mix'!$B$3="B",'Product Mix'!$D$9,'Product Mix'!$E$9))*MIN(1,MAX(0,(17-'Product Mix'!$J$9+1)/'Product Mix'!$K$9))</f>
        <v/>
      </c>
      <c r="T11" s="21">
        <f>IF('Product Mix'!$B$3="A",'Product Mix'!$C$9,IF('Product Mix'!$B$3="B",'Product Mix'!$D$9,'Product Mix'!$E$9))*MIN(1,MAX(0,(18-'Product Mix'!$J$9+1)/'Product Mix'!$K$9))</f>
        <v/>
      </c>
      <c r="U11" s="21">
        <f>IF('Product Mix'!$B$3="A",'Product Mix'!$C$9,IF('Product Mix'!$B$3="B",'Product Mix'!$D$9,'Product Mix'!$E$9))*MIN(1,MAX(0,(19-'Product Mix'!$J$9+1)/'Product Mix'!$K$9))</f>
        <v/>
      </c>
      <c r="V11" s="21">
        <f>IF('Product Mix'!$B$3="A",'Product Mix'!$C$9,IF('Product Mix'!$B$3="B",'Product Mix'!$D$9,'Product Mix'!$E$9))*MIN(1,MAX(0,(20-'Product Mix'!$J$9+1)/'Product Mix'!$K$9))</f>
        <v/>
      </c>
      <c r="W11" s="21">
        <f>IF('Product Mix'!$B$3="A",'Product Mix'!$C$9,IF('Product Mix'!$B$3="B",'Product Mix'!$D$9,'Product Mix'!$E$9))*MIN(1,MAX(0,(21-'Product Mix'!$J$9+1)/'Product Mix'!$K$9))</f>
        <v/>
      </c>
      <c r="X11" s="21">
        <f>IF('Product Mix'!$B$3="A",'Product Mix'!$C$9,IF('Product Mix'!$B$3="B",'Product Mix'!$D$9,'Product Mix'!$E$9))*MIN(1,MAX(0,(22-'Product Mix'!$J$9+1)/'Product Mix'!$K$9))</f>
        <v/>
      </c>
      <c r="Y11" s="21">
        <f>IF('Product Mix'!$B$3="A",'Product Mix'!$C$9,IF('Product Mix'!$B$3="B",'Product Mix'!$D$9,'Product Mix'!$E$9))*MIN(1,MAX(0,(23-'Product Mix'!$J$9+1)/'Product Mix'!$K$9))</f>
        <v/>
      </c>
      <c r="Z11" s="21">
        <f>IF('Product Mix'!$B$3="A",'Product Mix'!$C$9,IF('Product Mix'!$B$3="B",'Product Mix'!$D$9,'Product Mix'!$E$9))*MIN(1,MAX(0,(24-'Product Mix'!$J$9+1)/'Product Mix'!$K$9))</f>
        <v/>
      </c>
      <c r="AA11" s="21">
        <f>IF('Product Mix'!$B$3="A",'Product Mix'!$C$9,IF('Product Mix'!$B$3="B",'Product Mix'!$D$9,'Product Mix'!$E$9))*MIN(1,MAX(0,(25-'Product Mix'!$J$9+1)/'Product Mix'!$K$9))</f>
        <v/>
      </c>
    </row>
    <row r="12">
      <c r="A12" s="10" t="inlineStr">
        <is>
          <t>Silicon-graphene composite anode</t>
        </is>
      </c>
      <c r="B12" s="6" t="inlineStr">
        <is>
          <t>t/yr</t>
        </is>
      </c>
      <c r="C12" s="21">
        <f>IF('Product Mix'!$B$3="A",'Product Mix'!$C$10,IF('Product Mix'!$B$3="B",'Product Mix'!$D$10,'Product Mix'!$E$10))*MIN(1,MAX(0,(1-'Product Mix'!$J$10+1)/'Product Mix'!$K$10))</f>
        <v/>
      </c>
      <c r="D12" s="21">
        <f>IF('Product Mix'!$B$3="A",'Product Mix'!$C$10,IF('Product Mix'!$B$3="B",'Product Mix'!$D$10,'Product Mix'!$E$10))*MIN(1,MAX(0,(2-'Product Mix'!$J$10+1)/'Product Mix'!$K$10))</f>
        <v/>
      </c>
      <c r="E12" s="21">
        <f>IF('Product Mix'!$B$3="A",'Product Mix'!$C$10,IF('Product Mix'!$B$3="B",'Product Mix'!$D$10,'Product Mix'!$E$10))*MIN(1,MAX(0,(3-'Product Mix'!$J$10+1)/'Product Mix'!$K$10))</f>
        <v/>
      </c>
      <c r="F12" s="21">
        <f>IF('Product Mix'!$B$3="A",'Product Mix'!$C$10,IF('Product Mix'!$B$3="B",'Product Mix'!$D$10,'Product Mix'!$E$10))*MIN(1,MAX(0,(4-'Product Mix'!$J$10+1)/'Product Mix'!$K$10))</f>
        <v/>
      </c>
      <c r="G12" s="21">
        <f>IF('Product Mix'!$B$3="A",'Product Mix'!$C$10,IF('Product Mix'!$B$3="B",'Product Mix'!$D$10,'Product Mix'!$E$10))*MIN(1,MAX(0,(5-'Product Mix'!$J$10+1)/'Product Mix'!$K$10))</f>
        <v/>
      </c>
      <c r="H12" s="21">
        <f>IF('Product Mix'!$B$3="A",'Product Mix'!$C$10,IF('Product Mix'!$B$3="B",'Product Mix'!$D$10,'Product Mix'!$E$10))*MIN(1,MAX(0,(6-'Product Mix'!$J$10+1)/'Product Mix'!$K$10))</f>
        <v/>
      </c>
      <c r="I12" s="21">
        <f>IF('Product Mix'!$B$3="A",'Product Mix'!$C$10,IF('Product Mix'!$B$3="B",'Product Mix'!$D$10,'Product Mix'!$E$10))*MIN(1,MAX(0,(7-'Product Mix'!$J$10+1)/'Product Mix'!$K$10))</f>
        <v/>
      </c>
      <c r="J12" s="21">
        <f>IF('Product Mix'!$B$3="A",'Product Mix'!$C$10,IF('Product Mix'!$B$3="B",'Product Mix'!$D$10,'Product Mix'!$E$10))*MIN(1,MAX(0,(8-'Product Mix'!$J$10+1)/'Product Mix'!$K$10))</f>
        <v/>
      </c>
      <c r="K12" s="21">
        <f>IF('Product Mix'!$B$3="A",'Product Mix'!$C$10,IF('Product Mix'!$B$3="B",'Product Mix'!$D$10,'Product Mix'!$E$10))*MIN(1,MAX(0,(9-'Product Mix'!$J$10+1)/'Product Mix'!$K$10))</f>
        <v/>
      </c>
      <c r="L12" s="21">
        <f>IF('Product Mix'!$B$3="A",'Product Mix'!$C$10,IF('Product Mix'!$B$3="B",'Product Mix'!$D$10,'Product Mix'!$E$10))*MIN(1,MAX(0,(10-'Product Mix'!$J$10+1)/'Product Mix'!$K$10))</f>
        <v/>
      </c>
      <c r="M12" s="21">
        <f>IF('Product Mix'!$B$3="A",'Product Mix'!$C$10,IF('Product Mix'!$B$3="B",'Product Mix'!$D$10,'Product Mix'!$E$10))*MIN(1,MAX(0,(11-'Product Mix'!$J$10+1)/'Product Mix'!$K$10))</f>
        <v/>
      </c>
      <c r="N12" s="21">
        <f>IF('Product Mix'!$B$3="A",'Product Mix'!$C$10,IF('Product Mix'!$B$3="B",'Product Mix'!$D$10,'Product Mix'!$E$10))*MIN(1,MAX(0,(12-'Product Mix'!$J$10+1)/'Product Mix'!$K$10))</f>
        <v/>
      </c>
      <c r="O12" s="21">
        <f>IF('Product Mix'!$B$3="A",'Product Mix'!$C$10,IF('Product Mix'!$B$3="B",'Product Mix'!$D$10,'Product Mix'!$E$10))*MIN(1,MAX(0,(13-'Product Mix'!$J$10+1)/'Product Mix'!$K$10))</f>
        <v/>
      </c>
      <c r="P12" s="21">
        <f>IF('Product Mix'!$B$3="A",'Product Mix'!$C$10,IF('Product Mix'!$B$3="B",'Product Mix'!$D$10,'Product Mix'!$E$10))*MIN(1,MAX(0,(14-'Product Mix'!$J$10+1)/'Product Mix'!$K$10))</f>
        <v/>
      </c>
      <c r="Q12" s="21">
        <f>IF('Product Mix'!$B$3="A",'Product Mix'!$C$10,IF('Product Mix'!$B$3="B",'Product Mix'!$D$10,'Product Mix'!$E$10))*MIN(1,MAX(0,(15-'Product Mix'!$J$10+1)/'Product Mix'!$K$10))</f>
        <v/>
      </c>
      <c r="R12" s="21">
        <f>IF('Product Mix'!$B$3="A",'Product Mix'!$C$10,IF('Product Mix'!$B$3="B",'Product Mix'!$D$10,'Product Mix'!$E$10))*MIN(1,MAX(0,(16-'Product Mix'!$J$10+1)/'Product Mix'!$K$10))</f>
        <v/>
      </c>
      <c r="S12" s="21">
        <f>IF('Product Mix'!$B$3="A",'Product Mix'!$C$10,IF('Product Mix'!$B$3="B",'Product Mix'!$D$10,'Product Mix'!$E$10))*MIN(1,MAX(0,(17-'Product Mix'!$J$10+1)/'Product Mix'!$K$10))</f>
        <v/>
      </c>
      <c r="T12" s="21">
        <f>IF('Product Mix'!$B$3="A",'Product Mix'!$C$10,IF('Product Mix'!$B$3="B",'Product Mix'!$D$10,'Product Mix'!$E$10))*MIN(1,MAX(0,(18-'Product Mix'!$J$10+1)/'Product Mix'!$K$10))</f>
        <v/>
      </c>
      <c r="U12" s="21">
        <f>IF('Product Mix'!$B$3="A",'Product Mix'!$C$10,IF('Product Mix'!$B$3="B",'Product Mix'!$D$10,'Product Mix'!$E$10))*MIN(1,MAX(0,(19-'Product Mix'!$J$10+1)/'Product Mix'!$K$10))</f>
        <v/>
      </c>
      <c r="V12" s="21">
        <f>IF('Product Mix'!$B$3="A",'Product Mix'!$C$10,IF('Product Mix'!$B$3="B",'Product Mix'!$D$10,'Product Mix'!$E$10))*MIN(1,MAX(0,(20-'Product Mix'!$J$10+1)/'Product Mix'!$K$10))</f>
        <v/>
      </c>
      <c r="W12" s="21">
        <f>IF('Product Mix'!$B$3="A",'Product Mix'!$C$10,IF('Product Mix'!$B$3="B",'Product Mix'!$D$10,'Product Mix'!$E$10))*MIN(1,MAX(0,(21-'Product Mix'!$J$10+1)/'Product Mix'!$K$10))</f>
        <v/>
      </c>
      <c r="X12" s="21">
        <f>IF('Product Mix'!$B$3="A",'Product Mix'!$C$10,IF('Product Mix'!$B$3="B",'Product Mix'!$D$10,'Product Mix'!$E$10))*MIN(1,MAX(0,(22-'Product Mix'!$J$10+1)/'Product Mix'!$K$10))</f>
        <v/>
      </c>
      <c r="Y12" s="21">
        <f>IF('Product Mix'!$B$3="A",'Product Mix'!$C$10,IF('Product Mix'!$B$3="B",'Product Mix'!$D$10,'Product Mix'!$E$10))*MIN(1,MAX(0,(23-'Product Mix'!$J$10+1)/'Product Mix'!$K$10))</f>
        <v/>
      </c>
      <c r="Z12" s="21">
        <f>IF('Product Mix'!$B$3="A",'Product Mix'!$C$10,IF('Product Mix'!$B$3="B",'Product Mix'!$D$10,'Product Mix'!$E$10))*MIN(1,MAX(0,(24-'Product Mix'!$J$10+1)/'Product Mix'!$K$10))</f>
        <v/>
      </c>
      <c r="AA12" s="21">
        <f>IF('Product Mix'!$B$3="A",'Product Mix'!$C$10,IF('Product Mix'!$B$3="B",'Product Mix'!$D$10,'Product Mix'!$E$10))*MIN(1,MAX(0,(25-'Product Mix'!$J$10+1)/'Product Mix'!$K$10))</f>
        <v/>
      </c>
    </row>
    <row r="13">
      <c r="A13" s="10" t="inlineStr">
        <is>
          <t>Coatings: anti-corrosion, marine</t>
        </is>
      </c>
      <c r="B13" s="6" t="inlineStr">
        <is>
          <t>t/yr</t>
        </is>
      </c>
      <c r="C13" s="21">
        <f>IF('Product Mix'!$B$3="A",'Product Mix'!$C$11,IF('Product Mix'!$B$3="B",'Product Mix'!$D$11,'Product Mix'!$E$11))*MIN(1,MAX(0,(1-'Product Mix'!$J$11+1)/'Product Mix'!$K$11))</f>
        <v/>
      </c>
      <c r="D13" s="21">
        <f>IF('Product Mix'!$B$3="A",'Product Mix'!$C$11,IF('Product Mix'!$B$3="B",'Product Mix'!$D$11,'Product Mix'!$E$11))*MIN(1,MAX(0,(2-'Product Mix'!$J$11+1)/'Product Mix'!$K$11))</f>
        <v/>
      </c>
      <c r="E13" s="21">
        <f>IF('Product Mix'!$B$3="A",'Product Mix'!$C$11,IF('Product Mix'!$B$3="B",'Product Mix'!$D$11,'Product Mix'!$E$11))*MIN(1,MAX(0,(3-'Product Mix'!$J$11+1)/'Product Mix'!$K$11))</f>
        <v/>
      </c>
      <c r="F13" s="21">
        <f>IF('Product Mix'!$B$3="A",'Product Mix'!$C$11,IF('Product Mix'!$B$3="B",'Product Mix'!$D$11,'Product Mix'!$E$11))*MIN(1,MAX(0,(4-'Product Mix'!$J$11+1)/'Product Mix'!$K$11))</f>
        <v/>
      </c>
      <c r="G13" s="21">
        <f>IF('Product Mix'!$B$3="A",'Product Mix'!$C$11,IF('Product Mix'!$B$3="B",'Product Mix'!$D$11,'Product Mix'!$E$11))*MIN(1,MAX(0,(5-'Product Mix'!$J$11+1)/'Product Mix'!$K$11))</f>
        <v/>
      </c>
      <c r="H13" s="21">
        <f>IF('Product Mix'!$B$3="A",'Product Mix'!$C$11,IF('Product Mix'!$B$3="B",'Product Mix'!$D$11,'Product Mix'!$E$11))*MIN(1,MAX(0,(6-'Product Mix'!$J$11+1)/'Product Mix'!$K$11))</f>
        <v/>
      </c>
      <c r="I13" s="21">
        <f>IF('Product Mix'!$B$3="A",'Product Mix'!$C$11,IF('Product Mix'!$B$3="B",'Product Mix'!$D$11,'Product Mix'!$E$11))*MIN(1,MAX(0,(7-'Product Mix'!$J$11+1)/'Product Mix'!$K$11))</f>
        <v/>
      </c>
      <c r="J13" s="21">
        <f>IF('Product Mix'!$B$3="A",'Product Mix'!$C$11,IF('Product Mix'!$B$3="B",'Product Mix'!$D$11,'Product Mix'!$E$11))*MIN(1,MAX(0,(8-'Product Mix'!$J$11+1)/'Product Mix'!$K$11))</f>
        <v/>
      </c>
      <c r="K13" s="21">
        <f>IF('Product Mix'!$B$3="A",'Product Mix'!$C$11,IF('Product Mix'!$B$3="B",'Product Mix'!$D$11,'Product Mix'!$E$11))*MIN(1,MAX(0,(9-'Product Mix'!$J$11+1)/'Product Mix'!$K$11))</f>
        <v/>
      </c>
      <c r="L13" s="21">
        <f>IF('Product Mix'!$B$3="A",'Product Mix'!$C$11,IF('Product Mix'!$B$3="B",'Product Mix'!$D$11,'Product Mix'!$E$11))*MIN(1,MAX(0,(10-'Product Mix'!$J$11+1)/'Product Mix'!$K$11))</f>
        <v/>
      </c>
      <c r="M13" s="21">
        <f>IF('Product Mix'!$B$3="A",'Product Mix'!$C$11,IF('Product Mix'!$B$3="B",'Product Mix'!$D$11,'Product Mix'!$E$11))*MIN(1,MAX(0,(11-'Product Mix'!$J$11+1)/'Product Mix'!$K$11))</f>
        <v/>
      </c>
      <c r="N13" s="21">
        <f>IF('Product Mix'!$B$3="A",'Product Mix'!$C$11,IF('Product Mix'!$B$3="B",'Product Mix'!$D$11,'Product Mix'!$E$11))*MIN(1,MAX(0,(12-'Product Mix'!$J$11+1)/'Product Mix'!$K$11))</f>
        <v/>
      </c>
      <c r="O13" s="21">
        <f>IF('Product Mix'!$B$3="A",'Product Mix'!$C$11,IF('Product Mix'!$B$3="B",'Product Mix'!$D$11,'Product Mix'!$E$11))*MIN(1,MAX(0,(13-'Product Mix'!$J$11+1)/'Product Mix'!$K$11))</f>
        <v/>
      </c>
      <c r="P13" s="21">
        <f>IF('Product Mix'!$B$3="A",'Product Mix'!$C$11,IF('Product Mix'!$B$3="B",'Product Mix'!$D$11,'Product Mix'!$E$11))*MIN(1,MAX(0,(14-'Product Mix'!$J$11+1)/'Product Mix'!$K$11))</f>
        <v/>
      </c>
      <c r="Q13" s="21">
        <f>IF('Product Mix'!$B$3="A",'Product Mix'!$C$11,IF('Product Mix'!$B$3="B",'Product Mix'!$D$11,'Product Mix'!$E$11))*MIN(1,MAX(0,(15-'Product Mix'!$J$11+1)/'Product Mix'!$K$11))</f>
        <v/>
      </c>
      <c r="R13" s="21">
        <f>IF('Product Mix'!$B$3="A",'Product Mix'!$C$11,IF('Product Mix'!$B$3="B",'Product Mix'!$D$11,'Product Mix'!$E$11))*MIN(1,MAX(0,(16-'Product Mix'!$J$11+1)/'Product Mix'!$K$11))</f>
        <v/>
      </c>
      <c r="S13" s="21">
        <f>IF('Product Mix'!$B$3="A",'Product Mix'!$C$11,IF('Product Mix'!$B$3="B",'Product Mix'!$D$11,'Product Mix'!$E$11))*MIN(1,MAX(0,(17-'Product Mix'!$J$11+1)/'Product Mix'!$K$11))</f>
        <v/>
      </c>
      <c r="T13" s="21">
        <f>IF('Product Mix'!$B$3="A",'Product Mix'!$C$11,IF('Product Mix'!$B$3="B",'Product Mix'!$D$11,'Product Mix'!$E$11))*MIN(1,MAX(0,(18-'Product Mix'!$J$11+1)/'Product Mix'!$K$11))</f>
        <v/>
      </c>
      <c r="U13" s="21">
        <f>IF('Product Mix'!$B$3="A",'Product Mix'!$C$11,IF('Product Mix'!$B$3="B",'Product Mix'!$D$11,'Product Mix'!$E$11))*MIN(1,MAX(0,(19-'Product Mix'!$J$11+1)/'Product Mix'!$K$11))</f>
        <v/>
      </c>
      <c r="V13" s="21">
        <f>IF('Product Mix'!$B$3="A",'Product Mix'!$C$11,IF('Product Mix'!$B$3="B",'Product Mix'!$D$11,'Product Mix'!$E$11))*MIN(1,MAX(0,(20-'Product Mix'!$J$11+1)/'Product Mix'!$K$11))</f>
        <v/>
      </c>
      <c r="W13" s="21">
        <f>IF('Product Mix'!$B$3="A",'Product Mix'!$C$11,IF('Product Mix'!$B$3="B",'Product Mix'!$D$11,'Product Mix'!$E$11))*MIN(1,MAX(0,(21-'Product Mix'!$J$11+1)/'Product Mix'!$K$11))</f>
        <v/>
      </c>
      <c r="X13" s="21">
        <f>IF('Product Mix'!$B$3="A",'Product Mix'!$C$11,IF('Product Mix'!$B$3="B",'Product Mix'!$D$11,'Product Mix'!$E$11))*MIN(1,MAX(0,(22-'Product Mix'!$J$11+1)/'Product Mix'!$K$11))</f>
        <v/>
      </c>
      <c r="Y13" s="21">
        <f>IF('Product Mix'!$B$3="A",'Product Mix'!$C$11,IF('Product Mix'!$B$3="B",'Product Mix'!$D$11,'Product Mix'!$E$11))*MIN(1,MAX(0,(23-'Product Mix'!$J$11+1)/'Product Mix'!$K$11))</f>
        <v/>
      </c>
      <c r="Z13" s="21">
        <f>IF('Product Mix'!$B$3="A",'Product Mix'!$C$11,IF('Product Mix'!$B$3="B",'Product Mix'!$D$11,'Product Mix'!$E$11))*MIN(1,MAX(0,(24-'Product Mix'!$J$11+1)/'Product Mix'!$K$11))</f>
        <v/>
      </c>
      <c r="AA13" s="21">
        <f>IF('Product Mix'!$B$3="A",'Product Mix'!$C$11,IF('Product Mix'!$B$3="B",'Product Mix'!$D$11,'Product Mix'!$E$11))*MIN(1,MAX(0,(25-'Product Mix'!$J$11+1)/'Product Mix'!$K$11))</f>
        <v/>
      </c>
    </row>
    <row r="14">
      <c r="A14" s="10" t="inlineStr">
        <is>
          <t>Thermal management and data-center cooling</t>
        </is>
      </c>
      <c r="B14" s="6" t="inlineStr">
        <is>
          <t>t/yr</t>
        </is>
      </c>
      <c r="C14" s="21">
        <f>IF('Product Mix'!$B$3="A",'Product Mix'!$C$12,IF('Product Mix'!$B$3="B",'Product Mix'!$D$12,'Product Mix'!$E$12))*MIN(1,MAX(0,(1-'Product Mix'!$J$12+1)/'Product Mix'!$K$12))</f>
        <v/>
      </c>
      <c r="D14" s="21">
        <f>IF('Product Mix'!$B$3="A",'Product Mix'!$C$12,IF('Product Mix'!$B$3="B",'Product Mix'!$D$12,'Product Mix'!$E$12))*MIN(1,MAX(0,(2-'Product Mix'!$J$12+1)/'Product Mix'!$K$12))</f>
        <v/>
      </c>
      <c r="E14" s="21">
        <f>IF('Product Mix'!$B$3="A",'Product Mix'!$C$12,IF('Product Mix'!$B$3="B",'Product Mix'!$D$12,'Product Mix'!$E$12))*MIN(1,MAX(0,(3-'Product Mix'!$J$12+1)/'Product Mix'!$K$12))</f>
        <v/>
      </c>
      <c r="F14" s="21">
        <f>IF('Product Mix'!$B$3="A",'Product Mix'!$C$12,IF('Product Mix'!$B$3="B",'Product Mix'!$D$12,'Product Mix'!$E$12))*MIN(1,MAX(0,(4-'Product Mix'!$J$12+1)/'Product Mix'!$K$12))</f>
        <v/>
      </c>
      <c r="G14" s="21">
        <f>IF('Product Mix'!$B$3="A",'Product Mix'!$C$12,IF('Product Mix'!$B$3="B",'Product Mix'!$D$12,'Product Mix'!$E$12))*MIN(1,MAX(0,(5-'Product Mix'!$J$12+1)/'Product Mix'!$K$12))</f>
        <v/>
      </c>
      <c r="H14" s="21">
        <f>IF('Product Mix'!$B$3="A",'Product Mix'!$C$12,IF('Product Mix'!$B$3="B",'Product Mix'!$D$12,'Product Mix'!$E$12))*MIN(1,MAX(0,(6-'Product Mix'!$J$12+1)/'Product Mix'!$K$12))</f>
        <v/>
      </c>
      <c r="I14" s="21">
        <f>IF('Product Mix'!$B$3="A",'Product Mix'!$C$12,IF('Product Mix'!$B$3="B",'Product Mix'!$D$12,'Product Mix'!$E$12))*MIN(1,MAX(0,(7-'Product Mix'!$J$12+1)/'Product Mix'!$K$12))</f>
        <v/>
      </c>
      <c r="J14" s="21">
        <f>IF('Product Mix'!$B$3="A",'Product Mix'!$C$12,IF('Product Mix'!$B$3="B",'Product Mix'!$D$12,'Product Mix'!$E$12))*MIN(1,MAX(0,(8-'Product Mix'!$J$12+1)/'Product Mix'!$K$12))</f>
        <v/>
      </c>
      <c r="K14" s="21">
        <f>IF('Product Mix'!$B$3="A",'Product Mix'!$C$12,IF('Product Mix'!$B$3="B",'Product Mix'!$D$12,'Product Mix'!$E$12))*MIN(1,MAX(0,(9-'Product Mix'!$J$12+1)/'Product Mix'!$K$12))</f>
        <v/>
      </c>
      <c r="L14" s="21">
        <f>IF('Product Mix'!$B$3="A",'Product Mix'!$C$12,IF('Product Mix'!$B$3="B",'Product Mix'!$D$12,'Product Mix'!$E$12))*MIN(1,MAX(0,(10-'Product Mix'!$J$12+1)/'Product Mix'!$K$12))</f>
        <v/>
      </c>
      <c r="M14" s="21">
        <f>IF('Product Mix'!$B$3="A",'Product Mix'!$C$12,IF('Product Mix'!$B$3="B",'Product Mix'!$D$12,'Product Mix'!$E$12))*MIN(1,MAX(0,(11-'Product Mix'!$J$12+1)/'Product Mix'!$K$12))</f>
        <v/>
      </c>
      <c r="N14" s="21">
        <f>IF('Product Mix'!$B$3="A",'Product Mix'!$C$12,IF('Product Mix'!$B$3="B",'Product Mix'!$D$12,'Product Mix'!$E$12))*MIN(1,MAX(0,(12-'Product Mix'!$J$12+1)/'Product Mix'!$K$12))</f>
        <v/>
      </c>
      <c r="O14" s="21">
        <f>IF('Product Mix'!$B$3="A",'Product Mix'!$C$12,IF('Product Mix'!$B$3="B",'Product Mix'!$D$12,'Product Mix'!$E$12))*MIN(1,MAX(0,(13-'Product Mix'!$J$12+1)/'Product Mix'!$K$12))</f>
        <v/>
      </c>
      <c r="P14" s="21">
        <f>IF('Product Mix'!$B$3="A",'Product Mix'!$C$12,IF('Product Mix'!$B$3="B",'Product Mix'!$D$12,'Product Mix'!$E$12))*MIN(1,MAX(0,(14-'Product Mix'!$J$12+1)/'Product Mix'!$K$12))</f>
        <v/>
      </c>
      <c r="Q14" s="21">
        <f>IF('Product Mix'!$B$3="A",'Product Mix'!$C$12,IF('Product Mix'!$B$3="B",'Product Mix'!$D$12,'Product Mix'!$E$12))*MIN(1,MAX(0,(15-'Product Mix'!$J$12+1)/'Product Mix'!$K$12))</f>
        <v/>
      </c>
      <c r="R14" s="21">
        <f>IF('Product Mix'!$B$3="A",'Product Mix'!$C$12,IF('Product Mix'!$B$3="B",'Product Mix'!$D$12,'Product Mix'!$E$12))*MIN(1,MAX(0,(16-'Product Mix'!$J$12+1)/'Product Mix'!$K$12))</f>
        <v/>
      </c>
      <c r="S14" s="21">
        <f>IF('Product Mix'!$B$3="A",'Product Mix'!$C$12,IF('Product Mix'!$B$3="B",'Product Mix'!$D$12,'Product Mix'!$E$12))*MIN(1,MAX(0,(17-'Product Mix'!$J$12+1)/'Product Mix'!$K$12))</f>
        <v/>
      </c>
      <c r="T14" s="21">
        <f>IF('Product Mix'!$B$3="A",'Product Mix'!$C$12,IF('Product Mix'!$B$3="B",'Product Mix'!$D$12,'Product Mix'!$E$12))*MIN(1,MAX(0,(18-'Product Mix'!$J$12+1)/'Product Mix'!$K$12))</f>
        <v/>
      </c>
      <c r="U14" s="21">
        <f>IF('Product Mix'!$B$3="A",'Product Mix'!$C$12,IF('Product Mix'!$B$3="B",'Product Mix'!$D$12,'Product Mix'!$E$12))*MIN(1,MAX(0,(19-'Product Mix'!$J$12+1)/'Product Mix'!$K$12))</f>
        <v/>
      </c>
      <c r="V14" s="21">
        <f>IF('Product Mix'!$B$3="A",'Product Mix'!$C$12,IF('Product Mix'!$B$3="B",'Product Mix'!$D$12,'Product Mix'!$E$12))*MIN(1,MAX(0,(20-'Product Mix'!$J$12+1)/'Product Mix'!$K$12))</f>
        <v/>
      </c>
      <c r="W14" s="21">
        <f>IF('Product Mix'!$B$3="A",'Product Mix'!$C$12,IF('Product Mix'!$B$3="B",'Product Mix'!$D$12,'Product Mix'!$E$12))*MIN(1,MAX(0,(21-'Product Mix'!$J$12+1)/'Product Mix'!$K$12))</f>
        <v/>
      </c>
      <c r="X14" s="21">
        <f>IF('Product Mix'!$B$3="A",'Product Mix'!$C$12,IF('Product Mix'!$B$3="B",'Product Mix'!$D$12,'Product Mix'!$E$12))*MIN(1,MAX(0,(22-'Product Mix'!$J$12+1)/'Product Mix'!$K$12))</f>
        <v/>
      </c>
      <c r="Y14" s="21">
        <f>IF('Product Mix'!$B$3="A",'Product Mix'!$C$12,IF('Product Mix'!$B$3="B",'Product Mix'!$D$12,'Product Mix'!$E$12))*MIN(1,MAX(0,(23-'Product Mix'!$J$12+1)/'Product Mix'!$K$12))</f>
        <v/>
      </c>
      <c r="Z14" s="21">
        <f>IF('Product Mix'!$B$3="A",'Product Mix'!$C$12,IF('Product Mix'!$B$3="B",'Product Mix'!$D$12,'Product Mix'!$E$12))*MIN(1,MAX(0,(24-'Product Mix'!$J$12+1)/'Product Mix'!$K$12))</f>
        <v/>
      </c>
      <c r="AA14" s="21">
        <f>IF('Product Mix'!$B$3="A",'Product Mix'!$C$12,IF('Product Mix'!$B$3="B",'Product Mix'!$D$12,'Product Mix'!$E$12))*MIN(1,MAX(0,(25-'Product Mix'!$J$12+1)/'Product Mix'!$K$12))</f>
        <v/>
      </c>
    </row>
    <row r="15">
      <c r="A15" s="10" t="inlineStr">
        <is>
          <t>Aerospace and defense composites</t>
        </is>
      </c>
      <c r="B15" s="6" t="inlineStr">
        <is>
          <t>t/yr</t>
        </is>
      </c>
      <c r="C15" s="21">
        <f>IF('Product Mix'!$B$3="A",'Product Mix'!$C$13,IF('Product Mix'!$B$3="B",'Product Mix'!$D$13,'Product Mix'!$E$13))*MIN(1,MAX(0,(1-'Product Mix'!$J$13+1)/'Product Mix'!$K$13))</f>
        <v/>
      </c>
      <c r="D15" s="21">
        <f>IF('Product Mix'!$B$3="A",'Product Mix'!$C$13,IF('Product Mix'!$B$3="B",'Product Mix'!$D$13,'Product Mix'!$E$13))*MIN(1,MAX(0,(2-'Product Mix'!$J$13+1)/'Product Mix'!$K$13))</f>
        <v/>
      </c>
      <c r="E15" s="21">
        <f>IF('Product Mix'!$B$3="A",'Product Mix'!$C$13,IF('Product Mix'!$B$3="B",'Product Mix'!$D$13,'Product Mix'!$E$13))*MIN(1,MAX(0,(3-'Product Mix'!$J$13+1)/'Product Mix'!$K$13))</f>
        <v/>
      </c>
      <c r="F15" s="21">
        <f>IF('Product Mix'!$B$3="A",'Product Mix'!$C$13,IF('Product Mix'!$B$3="B",'Product Mix'!$D$13,'Product Mix'!$E$13))*MIN(1,MAX(0,(4-'Product Mix'!$J$13+1)/'Product Mix'!$K$13))</f>
        <v/>
      </c>
      <c r="G15" s="21">
        <f>IF('Product Mix'!$B$3="A",'Product Mix'!$C$13,IF('Product Mix'!$B$3="B",'Product Mix'!$D$13,'Product Mix'!$E$13))*MIN(1,MAX(0,(5-'Product Mix'!$J$13+1)/'Product Mix'!$K$13))</f>
        <v/>
      </c>
      <c r="H15" s="21">
        <f>IF('Product Mix'!$B$3="A",'Product Mix'!$C$13,IF('Product Mix'!$B$3="B",'Product Mix'!$D$13,'Product Mix'!$E$13))*MIN(1,MAX(0,(6-'Product Mix'!$J$13+1)/'Product Mix'!$K$13))</f>
        <v/>
      </c>
      <c r="I15" s="21">
        <f>IF('Product Mix'!$B$3="A",'Product Mix'!$C$13,IF('Product Mix'!$B$3="B",'Product Mix'!$D$13,'Product Mix'!$E$13))*MIN(1,MAX(0,(7-'Product Mix'!$J$13+1)/'Product Mix'!$K$13))</f>
        <v/>
      </c>
      <c r="J15" s="21">
        <f>IF('Product Mix'!$B$3="A",'Product Mix'!$C$13,IF('Product Mix'!$B$3="B",'Product Mix'!$D$13,'Product Mix'!$E$13))*MIN(1,MAX(0,(8-'Product Mix'!$J$13+1)/'Product Mix'!$K$13))</f>
        <v/>
      </c>
      <c r="K15" s="21">
        <f>IF('Product Mix'!$B$3="A",'Product Mix'!$C$13,IF('Product Mix'!$B$3="B",'Product Mix'!$D$13,'Product Mix'!$E$13))*MIN(1,MAX(0,(9-'Product Mix'!$J$13+1)/'Product Mix'!$K$13))</f>
        <v/>
      </c>
      <c r="L15" s="21">
        <f>IF('Product Mix'!$B$3="A",'Product Mix'!$C$13,IF('Product Mix'!$B$3="B",'Product Mix'!$D$13,'Product Mix'!$E$13))*MIN(1,MAX(0,(10-'Product Mix'!$J$13+1)/'Product Mix'!$K$13))</f>
        <v/>
      </c>
      <c r="M15" s="21">
        <f>IF('Product Mix'!$B$3="A",'Product Mix'!$C$13,IF('Product Mix'!$B$3="B",'Product Mix'!$D$13,'Product Mix'!$E$13))*MIN(1,MAX(0,(11-'Product Mix'!$J$13+1)/'Product Mix'!$K$13))</f>
        <v/>
      </c>
      <c r="N15" s="21">
        <f>IF('Product Mix'!$B$3="A",'Product Mix'!$C$13,IF('Product Mix'!$B$3="B",'Product Mix'!$D$13,'Product Mix'!$E$13))*MIN(1,MAX(0,(12-'Product Mix'!$J$13+1)/'Product Mix'!$K$13))</f>
        <v/>
      </c>
      <c r="O15" s="21">
        <f>IF('Product Mix'!$B$3="A",'Product Mix'!$C$13,IF('Product Mix'!$B$3="B",'Product Mix'!$D$13,'Product Mix'!$E$13))*MIN(1,MAX(0,(13-'Product Mix'!$J$13+1)/'Product Mix'!$K$13))</f>
        <v/>
      </c>
      <c r="P15" s="21">
        <f>IF('Product Mix'!$B$3="A",'Product Mix'!$C$13,IF('Product Mix'!$B$3="B",'Product Mix'!$D$13,'Product Mix'!$E$13))*MIN(1,MAX(0,(14-'Product Mix'!$J$13+1)/'Product Mix'!$K$13))</f>
        <v/>
      </c>
      <c r="Q15" s="21">
        <f>IF('Product Mix'!$B$3="A",'Product Mix'!$C$13,IF('Product Mix'!$B$3="B",'Product Mix'!$D$13,'Product Mix'!$E$13))*MIN(1,MAX(0,(15-'Product Mix'!$J$13+1)/'Product Mix'!$K$13))</f>
        <v/>
      </c>
      <c r="R15" s="21">
        <f>IF('Product Mix'!$B$3="A",'Product Mix'!$C$13,IF('Product Mix'!$B$3="B",'Product Mix'!$D$13,'Product Mix'!$E$13))*MIN(1,MAX(0,(16-'Product Mix'!$J$13+1)/'Product Mix'!$K$13))</f>
        <v/>
      </c>
      <c r="S15" s="21">
        <f>IF('Product Mix'!$B$3="A",'Product Mix'!$C$13,IF('Product Mix'!$B$3="B",'Product Mix'!$D$13,'Product Mix'!$E$13))*MIN(1,MAX(0,(17-'Product Mix'!$J$13+1)/'Product Mix'!$K$13))</f>
        <v/>
      </c>
      <c r="T15" s="21">
        <f>IF('Product Mix'!$B$3="A",'Product Mix'!$C$13,IF('Product Mix'!$B$3="B",'Product Mix'!$D$13,'Product Mix'!$E$13))*MIN(1,MAX(0,(18-'Product Mix'!$J$13+1)/'Product Mix'!$K$13))</f>
        <v/>
      </c>
      <c r="U15" s="21">
        <f>IF('Product Mix'!$B$3="A",'Product Mix'!$C$13,IF('Product Mix'!$B$3="B",'Product Mix'!$D$13,'Product Mix'!$E$13))*MIN(1,MAX(0,(19-'Product Mix'!$J$13+1)/'Product Mix'!$K$13))</f>
        <v/>
      </c>
      <c r="V15" s="21">
        <f>IF('Product Mix'!$B$3="A",'Product Mix'!$C$13,IF('Product Mix'!$B$3="B",'Product Mix'!$D$13,'Product Mix'!$E$13))*MIN(1,MAX(0,(20-'Product Mix'!$J$13+1)/'Product Mix'!$K$13))</f>
        <v/>
      </c>
      <c r="W15" s="21">
        <f>IF('Product Mix'!$B$3="A",'Product Mix'!$C$13,IF('Product Mix'!$B$3="B",'Product Mix'!$D$13,'Product Mix'!$E$13))*MIN(1,MAX(0,(21-'Product Mix'!$J$13+1)/'Product Mix'!$K$13))</f>
        <v/>
      </c>
      <c r="X15" s="21">
        <f>IF('Product Mix'!$B$3="A",'Product Mix'!$C$13,IF('Product Mix'!$B$3="B",'Product Mix'!$D$13,'Product Mix'!$E$13))*MIN(1,MAX(0,(22-'Product Mix'!$J$13+1)/'Product Mix'!$K$13))</f>
        <v/>
      </c>
      <c r="Y15" s="21">
        <f>IF('Product Mix'!$B$3="A",'Product Mix'!$C$13,IF('Product Mix'!$B$3="B",'Product Mix'!$D$13,'Product Mix'!$E$13))*MIN(1,MAX(0,(23-'Product Mix'!$J$13+1)/'Product Mix'!$K$13))</f>
        <v/>
      </c>
      <c r="Z15" s="21">
        <f>IF('Product Mix'!$B$3="A",'Product Mix'!$C$13,IF('Product Mix'!$B$3="B",'Product Mix'!$D$13,'Product Mix'!$E$13))*MIN(1,MAX(0,(24-'Product Mix'!$J$13+1)/'Product Mix'!$K$13))</f>
        <v/>
      </c>
      <c r="AA15" s="21">
        <f>IF('Product Mix'!$B$3="A",'Product Mix'!$C$13,IF('Product Mix'!$B$3="B",'Product Mix'!$D$13,'Product Mix'!$E$13))*MIN(1,MAX(0,(25-'Product Mix'!$J$13+1)/'Product Mix'!$K$13))</f>
        <v/>
      </c>
    </row>
    <row r="16">
      <c r="A16" s="10" t="inlineStr">
        <is>
          <t>Specialty: membranes, sensors, EMI</t>
        </is>
      </c>
      <c r="B16" s="6" t="inlineStr">
        <is>
          <t>t/yr</t>
        </is>
      </c>
      <c r="C16" s="21">
        <f>IF('Product Mix'!$B$3="A",'Product Mix'!$C$14,IF('Product Mix'!$B$3="B",'Product Mix'!$D$14,'Product Mix'!$E$14))*MIN(1,MAX(0,(1-'Product Mix'!$J$14+1)/'Product Mix'!$K$14))</f>
        <v/>
      </c>
      <c r="D16" s="21">
        <f>IF('Product Mix'!$B$3="A",'Product Mix'!$C$14,IF('Product Mix'!$B$3="B",'Product Mix'!$D$14,'Product Mix'!$E$14))*MIN(1,MAX(0,(2-'Product Mix'!$J$14+1)/'Product Mix'!$K$14))</f>
        <v/>
      </c>
      <c r="E16" s="21">
        <f>IF('Product Mix'!$B$3="A",'Product Mix'!$C$14,IF('Product Mix'!$B$3="B",'Product Mix'!$D$14,'Product Mix'!$E$14))*MIN(1,MAX(0,(3-'Product Mix'!$J$14+1)/'Product Mix'!$K$14))</f>
        <v/>
      </c>
      <c r="F16" s="21">
        <f>IF('Product Mix'!$B$3="A",'Product Mix'!$C$14,IF('Product Mix'!$B$3="B",'Product Mix'!$D$14,'Product Mix'!$E$14))*MIN(1,MAX(0,(4-'Product Mix'!$J$14+1)/'Product Mix'!$K$14))</f>
        <v/>
      </c>
      <c r="G16" s="21">
        <f>IF('Product Mix'!$B$3="A",'Product Mix'!$C$14,IF('Product Mix'!$B$3="B",'Product Mix'!$D$14,'Product Mix'!$E$14))*MIN(1,MAX(0,(5-'Product Mix'!$J$14+1)/'Product Mix'!$K$14))</f>
        <v/>
      </c>
      <c r="H16" s="21">
        <f>IF('Product Mix'!$B$3="A",'Product Mix'!$C$14,IF('Product Mix'!$B$3="B",'Product Mix'!$D$14,'Product Mix'!$E$14))*MIN(1,MAX(0,(6-'Product Mix'!$J$14+1)/'Product Mix'!$K$14))</f>
        <v/>
      </c>
      <c r="I16" s="21">
        <f>IF('Product Mix'!$B$3="A",'Product Mix'!$C$14,IF('Product Mix'!$B$3="B",'Product Mix'!$D$14,'Product Mix'!$E$14))*MIN(1,MAX(0,(7-'Product Mix'!$J$14+1)/'Product Mix'!$K$14))</f>
        <v/>
      </c>
      <c r="J16" s="21">
        <f>IF('Product Mix'!$B$3="A",'Product Mix'!$C$14,IF('Product Mix'!$B$3="B",'Product Mix'!$D$14,'Product Mix'!$E$14))*MIN(1,MAX(0,(8-'Product Mix'!$J$14+1)/'Product Mix'!$K$14))</f>
        <v/>
      </c>
      <c r="K16" s="21">
        <f>IF('Product Mix'!$B$3="A",'Product Mix'!$C$14,IF('Product Mix'!$B$3="B",'Product Mix'!$D$14,'Product Mix'!$E$14))*MIN(1,MAX(0,(9-'Product Mix'!$J$14+1)/'Product Mix'!$K$14))</f>
        <v/>
      </c>
      <c r="L16" s="21">
        <f>IF('Product Mix'!$B$3="A",'Product Mix'!$C$14,IF('Product Mix'!$B$3="B",'Product Mix'!$D$14,'Product Mix'!$E$14))*MIN(1,MAX(0,(10-'Product Mix'!$J$14+1)/'Product Mix'!$K$14))</f>
        <v/>
      </c>
      <c r="M16" s="21">
        <f>IF('Product Mix'!$B$3="A",'Product Mix'!$C$14,IF('Product Mix'!$B$3="B",'Product Mix'!$D$14,'Product Mix'!$E$14))*MIN(1,MAX(0,(11-'Product Mix'!$J$14+1)/'Product Mix'!$K$14))</f>
        <v/>
      </c>
      <c r="N16" s="21">
        <f>IF('Product Mix'!$B$3="A",'Product Mix'!$C$14,IF('Product Mix'!$B$3="B",'Product Mix'!$D$14,'Product Mix'!$E$14))*MIN(1,MAX(0,(12-'Product Mix'!$J$14+1)/'Product Mix'!$K$14))</f>
        <v/>
      </c>
      <c r="O16" s="21">
        <f>IF('Product Mix'!$B$3="A",'Product Mix'!$C$14,IF('Product Mix'!$B$3="B",'Product Mix'!$D$14,'Product Mix'!$E$14))*MIN(1,MAX(0,(13-'Product Mix'!$J$14+1)/'Product Mix'!$K$14))</f>
        <v/>
      </c>
      <c r="P16" s="21">
        <f>IF('Product Mix'!$B$3="A",'Product Mix'!$C$14,IF('Product Mix'!$B$3="B",'Product Mix'!$D$14,'Product Mix'!$E$14))*MIN(1,MAX(0,(14-'Product Mix'!$J$14+1)/'Product Mix'!$K$14))</f>
        <v/>
      </c>
      <c r="Q16" s="21">
        <f>IF('Product Mix'!$B$3="A",'Product Mix'!$C$14,IF('Product Mix'!$B$3="B",'Product Mix'!$D$14,'Product Mix'!$E$14))*MIN(1,MAX(0,(15-'Product Mix'!$J$14+1)/'Product Mix'!$K$14))</f>
        <v/>
      </c>
      <c r="R16" s="21">
        <f>IF('Product Mix'!$B$3="A",'Product Mix'!$C$14,IF('Product Mix'!$B$3="B",'Product Mix'!$D$14,'Product Mix'!$E$14))*MIN(1,MAX(0,(16-'Product Mix'!$J$14+1)/'Product Mix'!$K$14))</f>
        <v/>
      </c>
      <c r="S16" s="21">
        <f>IF('Product Mix'!$B$3="A",'Product Mix'!$C$14,IF('Product Mix'!$B$3="B",'Product Mix'!$D$14,'Product Mix'!$E$14))*MIN(1,MAX(0,(17-'Product Mix'!$J$14+1)/'Product Mix'!$K$14))</f>
        <v/>
      </c>
      <c r="T16" s="21">
        <f>IF('Product Mix'!$B$3="A",'Product Mix'!$C$14,IF('Product Mix'!$B$3="B",'Product Mix'!$D$14,'Product Mix'!$E$14))*MIN(1,MAX(0,(18-'Product Mix'!$J$14+1)/'Product Mix'!$K$14))</f>
        <v/>
      </c>
      <c r="U16" s="21">
        <f>IF('Product Mix'!$B$3="A",'Product Mix'!$C$14,IF('Product Mix'!$B$3="B",'Product Mix'!$D$14,'Product Mix'!$E$14))*MIN(1,MAX(0,(19-'Product Mix'!$J$14+1)/'Product Mix'!$K$14))</f>
        <v/>
      </c>
      <c r="V16" s="21">
        <f>IF('Product Mix'!$B$3="A",'Product Mix'!$C$14,IF('Product Mix'!$B$3="B",'Product Mix'!$D$14,'Product Mix'!$E$14))*MIN(1,MAX(0,(20-'Product Mix'!$J$14+1)/'Product Mix'!$K$14))</f>
        <v/>
      </c>
      <c r="W16" s="21">
        <f>IF('Product Mix'!$B$3="A",'Product Mix'!$C$14,IF('Product Mix'!$B$3="B",'Product Mix'!$D$14,'Product Mix'!$E$14))*MIN(1,MAX(0,(21-'Product Mix'!$J$14+1)/'Product Mix'!$K$14))</f>
        <v/>
      </c>
      <c r="X16" s="21">
        <f>IF('Product Mix'!$B$3="A",'Product Mix'!$C$14,IF('Product Mix'!$B$3="B",'Product Mix'!$D$14,'Product Mix'!$E$14))*MIN(1,MAX(0,(22-'Product Mix'!$J$14+1)/'Product Mix'!$K$14))</f>
        <v/>
      </c>
      <c r="Y16" s="21">
        <f>IF('Product Mix'!$B$3="A",'Product Mix'!$C$14,IF('Product Mix'!$B$3="B",'Product Mix'!$D$14,'Product Mix'!$E$14))*MIN(1,MAX(0,(23-'Product Mix'!$J$14+1)/'Product Mix'!$K$14))</f>
        <v/>
      </c>
      <c r="Z16" s="21">
        <f>IF('Product Mix'!$B$3="A",'Product Mix'!$C$14,IF('Product Mix'!$B$3="B",'Product Mix'!$D$14,'Product Mix'!$E$14))*MIN(1,MAX(0,(24-'Product Mix'!$J$14+1)/'Product Mix'!$K$14))</f>
        <v/>
      </c>
      <c r="AA16" s="21">
        <f>IF('Product Mix'!$B$3="A",'Product Mix'!$C$14,IF('Product Mix'!$B$3="B",'Product Mix'!$D$14,'Product Mix'!$E$14))*MIN(1,MAX(0,(25-'Product Mix'!$J$14+1)/'Product Mix'!$K$14))</f>
        <v/>
      </c>
    </row>
    <row r="17">
      <c r="A17" s="3" t="inlineStr">
        <is>
          <t>Total tonnage sold</t>
        </is>
      </c>
      <c r="B17" s="6" t="inlineStr">
        <is>
          <t>t/yr</t>
        </is>
      </c>
      <c r="C17" s="23">
        <f>SUM(C7:C16)</f>
        <v/>
      </c>
      <c r="D17" s="23">
        <f>SUM(D7:D16)</f>
        <v/>
      </c>
      <c r="E17" s="23">
        <f>SUM(E7:E16)</f>
        <v/>
      </c>
      <c r="F17" s="23">
        <f>SUM(F7:F16)</f>
        <v/>
      </c>
      <c r="G17" s="23">
        <f>SUM(G7:G16)</f>
        <v/>
      </c>
      <c r="H17" s="23">
        <f>SUM(H7:H16)</f>
        <v/>
      </c>
      <c r="I17" s="23">
        <f>SUM(I7:I16)</f>
        <v/>
      </c>
      <c r="J17" s="23">
        <f>SUM(J7:J16)</f>
        <v/>
      </c>
      <c r="K17" s="23">
        <f>SUM(K7:K16)</f>
        <v/>
      </c>
      <c r="L17" s="23">
        <f>SUM(L7:L16)</f>
        <v/>
      </c>
      <c r="M17" s="23">
        <f>SUM(M7:M16)</f>
        <v/>
      </c>
      <c r="N17" s="23">
        <f>SUM(N7:N16)</f>
        <v/>
      </c>
      <c r="O17" s="23">
        <f>SUM(O7:O16)</f>
        <v/>
      </c>
      <c r="P17" s="23">
        <f>SUM(P7:P16)</f>
        <v/>
      </c>
      <c r="Q17" s="23">
        <f>SUM(Q7:Q16)</f>
        <v/>
      </c>
      <c r="R17" s="23">
        <f>SUM(R7:R16)</f>
        <v/>
      </c>
      <c r="S17" s="23">
        <f>SUM(S7:S16)</f>
        <v/>
      </c>
      <c r="T17" s="23">
        <f>SUM(T7:T16)</f>
        <v/>
      </c>
      <c r="U17" s="23">
        <f>SUM(U7:U16)</f>
        <v/>
      </c>
      <c r="V17" s="23">
        <f>SUM(V7:V16)</f>
        <v/>
      </c>
      <c r="W17" s="23">
        <f>SUM(W7:W16)</f>
        <v/>
      </c>
      <c r="X17" s="23">
        <f>SUM(X7:X16)</f>
        <v/>
      </c>
      <c r="Y17" s="23">
        <f>SUM(Y7:Y16)</f>
        <v/>
      </c>
      <c r="Z17" s="23">
        <f>SUM(Z7:Z16)</f>
        <v/>
      </c>
      <c r="AA17" s="23">
        <f>SUM(AA7:AA16)</f>
        <v/>
      </c>
    </row>
    <row r="19">
      <c r="A19" s="3" t="inlineStr">
        <is>
          <t>Revenue by segment</t>
        </is>
      </c>
    </row>
    <row r="20">
      <c r="A20" s="10" t="inlineStr">
        <is>
          <t>Battery-grade graphite (anode)</t>
        </is>
      </c>
      <c r="B20" s="6" t="inlineStr">
        <is>
          <t>$</t>
        </is>
      </c>
      <c r="C20" s="22">
        <f>C7*('Product Mix'!$F$5+('Product Mix'!$G$5-'Product Mix'!$F$5)*MIN(1,IFERROR(C7/'Product Mix'!$E$5,0)))</f>
        <v/>
      </c>
      <c r="D20" s="22">
        <f>D7*('Product Mix'!$F$5+('Product Mix'!$G$5-'Product Mix'!$F$5)*MIN(1,IFERROR(D7/'Product Mix'!$E$5,0)))</f>
        <v/>
      </c>
      <c r="E20" s="22">
        <f>E7*('Product Mix'!$F$5+('Product Mix'!$G$5-'Product Mix'!$F$5)*MIN(1,IFERROR(E7/'Product Mix'!$E$5,0)))</f>
        <v/>
      </c>
      <c r="F20" s="22">
        <f>F7*('Product Mix'!$F$5+('Product Mix'!$G$5-'Product Mix'!$F$5)*MIN(1,IFERROR(F7/'Product Mix'!$E$5,0)))</f>
        <v/>
      </c>
      <c r="G20" s="22">
        <f>G7*('Product Mix'!$F$5+('Product Mix'!$G$5-'Product Mix'!$F$5)*MIN(1,IFERROR(G7/'Product Mix'!$E$5,0)))</f>
        <v/>
      </c>
      <c r="H20" s="22">
        <f>H7*('Product Mix'!$F$5+('Product Mix'!$G$5-'Product Mix'!$F$5)*MIN(1,IFERROR(H7/'Product Mix'!$E$5,0)))</f>
        <v/>
      </c>
      <c r="I20" s="22">
        <f>I7*('Product Mix'!$F$5+('Product Mix'!$G$5-'Product Mix'!$F$5)*MIN(1,IFERROR(I7/'Product Mix'!$E$5,0)))</f>
        <v/>
      </c>
      <c r="J20" s="22">
        <f>J7*('Product Mix'!$F$5+('Product Mix'!$G$5-'Product Mix'!$F$5)*MIN(1,IFERROR(J7/'Product Mix'!$E$5,0)))</f>
        <v/>
      </c>
      <c r="K20" s="22">
        <f>K7*('Product Mix'!$F$5+('Product Mix'!$G$5-'Product Mix'!$F$5)*MIN(1,IFERROR(K7/'Product Mix'!$E$5,0)))</f>
        <v/>
      </c>
      <c r="L20" s="22">
        <f>L7*('Product Mix'!$F$5+('Product Mix'!$G$5-'Product Mix'!$F$5)*MIN(1,IFERROR(L7/'Product Mix'!$E$5,0)))</f>
        <v/>
      </c>
      <c r="M20" s="22">
        <f>M7*('Product Mix'!$F$5+('Product Mix'!$G$5-'Product Mix'!$F$5)*MIN(1,IFERROR(M7/'Product Mix'!$E$5,0)))</f>
        <v/>
      </c>
      <c r="N20" s="22">
        <f>N7*('Product Mix'!$F$5+('Product Mix'!$G$5-'Product Mix'!$F$5)*MIN(1,IFERROR(N7/'Product Mix'!$E$5,0)))</f>
        <v/>
      </c>
      <c r="O20" s="22">
        <f>O7*('Product Mix'!$F$5+('Product Mix'!$G$5-'Product Mix'!$F$5)*MIN(1,IFERROR(O7/'Product Mix'!$E$5,0)))</f>
        <v/>
      </c>
      <c r="P20" s="22">
        <f>P7*('Product Mix'!$F$5+('Product Mix'!$G$5-'Product Mix'!$F$5)*MIN(1,IFERROR(P7/'Product Mix'!$E$5,0)))</f>
        <v/>
      </c>
      <c r="Q20" s="22">
        <f>Q7*('Product Mix'!$F$5+('Product Mix'!$G$5-'Product Mix'!$F$5)*MIN(1,IFERROR(Q7/'Product Mix'!$E$5,0)))</f>
        <v/>
      </c>
      <c r="R20" s="22">
        <f>R7*('Product Mix'!$F$5+('Product Mix'!$G$5-'Product Mix'!$F$5)*MIN(1,IFERROR(R7/'Product Mix'!$E$5,0)))</f>
        <v/>
      </c>
      <c r="S20" s="22">
        <f>S7*('Product Mix'!$F$5+('Product Mix'!$G$5-'Product Mix'!$F$5)*MIN(1,IFERROR(S7/'Product Mix'!$E$5,0)))</f>
        <v/>
      </c>
      <c r="T20" s="22">
        <f>T7*('Product Mix'!$F$5+('Product Mix'!$G$5-'Product Mix'!$F$5)*MIN(1,IFERROR(T7/'Product Mix'!$E$5,0)))</f>
        <v/>
      </c>
      <c r="U20" s="22">
        <f>U7*('Product Mix'!$F$5+('Product Mix'!$G$5-'Product Mix'!$F$5)*MIN(1,IFERROR(U7/'Product Mix'!$E$5,0)))</f>
        <v/>
      </c>
      <c r="V20" s="22">
        <f>V7*('Product Mix'!$F$5+('Product Mix'!$G$5-'Product Mix'!$F$5)*MIN(1,IFERROR(V7/'Product Mix'!$E$5,0)))</f>
        <v/>
      </c>
      <c r="W20" s="22">
        <f>W7*('Product Mix'!$F$5+('Product Mix'!$G$5-'Product Mix'!$F$5)*MIN(1,IFERROR(W7/'Product Mix'!$E$5,0)))</f>
        <v/>
      </c>
      <c r="X20" s="22">
        <f>X7*('Product Mix'!$F$5+('Product Mix'!$G$5-'Product Mix'!$F$5)*MIN(1,IFERROR(X7/'Product Mix'!$E$5,0)))</f>
        <v/>
      </c>
      <c r="Y20" s="22">
        <f>Y7*('Product Mix'!$F$5+('Product Mix'!$G$5-'Product Mix'!$F$5)*MIN(1,IFERROR(Y7/'Product Mix'!$E$5,0)))</f>
        <v/>
      </c>
      <c r="Z20" s="22">
        <f>Z7*('Product Mix'!$F$5+('Product Mix'!$G$5-'Product Mix'!$F$5)*MIN(1,IFERROR(Z7/'Product Mix'!$E$5,0)))</f>
        <v/>
      </c>
      <c r="AA20" s="22">
        <f>AA7*('Product Mix'!$F$5+('Product Mix'!$G$5-'Product Mix'!$F$5)*MIN(1,IFERROR(AA7/'Product Mix'!$E$5,0)))</f>
        <v/>
      </c>
    </row>
    <row r="21">
      <c r="A21" s="10" t="inlineStr">
        <is>
          <t>Concrete and cement admixture</t>
        </is>
      </c>
      <c r="B21" s="6" t="inlineStr">
        <is>
          <t>$</t>
        </is>
      </c>
      <c r="C21" s="22">
        <f>C8*('Product Mix'!$F$6+('Product Mix'!$G$6-'Product Mix'!$F$6)*MIN(1,IFERROR(C8/'Product Mix'!$E$6,0)))</f>
        <v/>
      </c>
      <c r="D21" s="22">
        <f>D8*('Product Mix'!$F$6+('Product Mix'!$G$6-'Product Mix'!$F$6)*MIN(1,IFERROR(D8/'Product Mix'!$E$6,0)))</f>
        <v/>
      </c>
      <c r="E21" s="22">
        <f>E8*('Product Mix'!$F$6+('Product Mix'!$G$6-'Product Mix'!$F$6)*MIN(1,IFERROR(E8/'Product Mix'!$E$6,0)))</f>
        <v/>
      </c>
      <c r="F21" s="22">
        <f>F8*('Product Mix'!$F$6+('Product Mix'!$G$6-'Product Mix'!$F$6)*MIN(1,IFERROR(F8/'Product Mix'!$E$6,0)))</f>
        <v/>
      </c>
      <c r="G21" s="22">
        <f>G8*('Product Mix'!$F$6+('Product Mix'!$G$6-'Product Mix'!$F$6)*MIN(1,IFERROR(G8/'Product Mix'!$E$6,0)))</f>
        <v/>
      </c>
      <c r="H21" s="22">
        <f>H8*('Product Mix'!$F$6+('Product Mix'!$G$6-'Product Mix'!$F$6)*MIN(1,IFERROR(H8/'Product Mix'!$E$6,0)))</f>
        <v/>
      </c>
      <c r="I21" s="22">
        <f>I8*('Product Mix'!$F$6+('Product Mix'!$G$6-'Product Mix'!$F$6)*MIN(1,IFERROR(I8/'Product Mix'!$E$6,0)))</f>
        <v/>
      </c>
      <c r="J21" s="22">
        <f>J8*('Product Mix'!$F$6+('Product Mix'!$G$6-'Product Mix'!$F$6)*MIN(1,IFERROR(J8/'Product Mix'!$E$6,0)))</f>
        <v/>
      </c>
      <c r="K21" s="22">
        <f>K8*('Product Mix'!$F$6+('Product Mix'!$G$6-'Product Mix'!$F$6)*MIN(1,IFERROR(K8/'Product Mix'!$E$6,0)))</f>
        <v/>
      </c>
      <c r="L21" s="22">
        <f>L8*('Product Mix'!$F$6+('Product Mix'!$G$6-'Product Mix'!$F$6)*MIN(1,IFERROR(L8/'Product Mix'!$E$6,0)))</f>
        <v/>
      </c>
      <c r="M21" s="22">
        <f>M8*('Product Mix'!$F$6+('Product Mix'!$G$6-'Product Mix'!$F$6)*MIN(1,IFERROR(M8/'Product Mix'!$E$6,0)))</f>
        <v/>
      </c>
      <c r="N21" s="22">
        <f>N8*('Product Mix'!$F$6+('Product Mix'!$G$6-'Product Mix'!$F$6)*MIN(1,IFERROR(N8/'Product Mix'!$E$6,0)))</f>
        <v/>
      </c>
      <c r="O21" s="22">
        <f>O8*('Product Mix'!$F$6+('Product Mix'!$G$6-'Product Mix'!$F$6)*MIN(1,IFERROR(O8/'Product Mix'!$E$6,0)))</f>
        <v/>
      </c>
      <c r="P21" s="22">
        <f>P8*('Product Mix'!$F$6+('Product Mix'!$G$6-'Product Mix'!$F$6)*MIN(1,IFERROR(P8/'Product Mix'!$E$6,0)))</f>
        <v/>
      </c>
      <c r="Q21" s="22">
        <f>Q8*('Product Mix'!$F$6+('Product Mix'!$G$6-'Product Mix'!$F$6)*MIN(1,IFERROR(Q8/'Product Mix'!$E$6,0)))</f>
        <v/>
      </c>
      <c r="R21" s="22">
        <f>R8*('Product Mix'!$F$6+('Product Mix'!$G$6-'Product Mix'!$F$6)*MIN(1,IFERROR(R8/'Product Mix'!$E$6,0)))</f>
        <v/>
      </c>
      <c r="S21" s="22">
        <f>S8*('Product Mix'!$F$6+('Product Mix'!$G$6-'Product Mix'!$F$6)*MIN(1,IFERROR(S8/'Product Mix'!$E$6,0)))</f>
        <v/>
      </c>
      <c r="T21" s="22">
        <f>T8*('Product Mix'!$F$6+('Product Mix'!$G$6-'Product Mix'!$F$6)*MIN(1,IFERROR(T8/'Product Mix'!$E$6,0)))</f>
        <v/>
      </c>
      <c r="U21" s="22">
        <f>U8*('Product Mix'!$F$6+('Product Mix'!$G$6-'Product Mix'!$F$6)*MIN(1,IFERROR(U8/'Product Mix'!$E$6,0)))</f>
        <v/>
      </c>
      <c r="V21" s="22">
        <f>V8*('Product Mix'!$F$6+('Product Mix'!$G$6-'Product Mix'!$F$6)*MIN(1,IFERROR(V8/'Product Mix'!$E$6,0)))</f>
        <v/>
      </c>
      <c r="W21" s="22">
        <f>W8*('Product Mix'!$F$6+('Product Mix'!$G$6-'Product Mix'!$F$6)*MIN(1,IFERROR(W8/'Product Mix'!$E$6,0)))</f>
        <v/>
      </c>
      <c r="X21" s="22">
        <f>X8*('Product Mix'!$F$6+('Product Mix'!$G$6-'Product Mix'!$F$6)*MIN(1,IFERROR(X8/'Product Mix'!$E$6,0)))</f>
        <v/>
      </c>
      <c r="Y21" s="22">
        <f>Y8*('Product Mix'!$F$6+('Product Mix'!$G$6-'Product Mix'!$F$6)*MIN(1,IFERROR(Y8/'Product Mix'!$E$6,0)))</f>
        <v/>
      </c>
      <c r="Z21" s="22">
        <f>Z8*('Product Mix'!$F$6+('Product Mix'!$G$6-'Product Mix'!$F$6)*MIN(1,IFERROR(Z8/'Product Mix'!$E$6,0)))</f>
        <v/>
      </c>
      <c r="AA21" s="22">
        <f>AA8*('Product Mix'!$F$6+('Product Mix'!$G$6-'Product Mix'!$F$6)*MIN(1,IFERROR(AA8/'Product Mix'!$E$6,0)))</f>
        <v/>
      </c>
    </row>
    <row r="22">
      <c r="A22" s="10" t="inlineStr">
        <is>
          <t>Rubber, tires and elastomers</t>
        </is>
      </c>
      <c r="B22" s="6" t="inlineStr">
        <is>
          <t>$</t>
        </is>
      </c>
      <c r="C22" s="22">
        <f>C9*('Product Mix'!$F$7+('Product Mix'!$G$7-'Product Mix'!$F$7)*MIN(1,IFERROR(C9/'Product Mix'!$E$7,0)))</f>
        <v/>
      </c>
      <c r="D22" s="22">
        <f>D9*('Product Mix'!$F$7+('Product Mix'!$G$7-'Product Mix'!$F$7)*MIN(1,IFERROR(D9/'Product Mix'!$E$7,0)))</f>
        <v/>
      </c>
      <c r="E22" s="22">
        <f>E9*('Product Mix'!$F$7+('Product Mix'!$G$7-'Product Mix'!$F$7)*MIN(1,IFERROR(E9/'Product Mix'!$E$7,0)))</f>
        <v/>
      </c>
      <c r="F22" s="22">
        <f>F9*('Product Mix'!$F$7+('Product Mix'!$G$7-'Product Mix'!$F$7)*MIN(1,IFERROR(F9/'Product Mix'!$E$7,0)))</f>
        <v/>
      </c>
      <c r="G22" s="22">
        <f>G9*('Product Mix'!$F$7+('Product Mix'!$G$7-'Product Mix'!$F$7)*MIN(1,IFERROR(G9/'Product Mix'!$E$7,0)))</f>
        <v/>
      </c>
      <c r="H22" s="22">
        <f>H9*('Product Mix'!$F$7+('Product Mix'!$G$7-'Product Mix'!$F$7)*MIN(1,IFERROR(H9/'Product Mix'!$E$7,0)))</f>
        <v/>
      </c>
      <c r="I22" s="22">
        <f>I9*('Product Mix'!$F$7+('Product Mix'!$G$7-'Product Mix'!$F$7)*MIN(1,IFERROR(I9/'Product Mix'!$E$7,0)))</f>
        <v/>
      </c>
      <c r="J22" s="22">
        <f>J9*('Product Mix'!$F$7+('Product Mix'!$G$7-'Product Mix'!$F$7)*MIN(1,IFERROR(J9/'Product Mix'!$E$7,0)))</f>
        <v/>
      </c>
      <c r="K22" s="22">
        <f>K9*('Product Mix'!$F$7+('Product Mix'!$G$7-'Product Mix'!$F$7)*MIN(1,IFERROR(K9/'Product Mix'!$E$7,0)))</f>
        <v/>
      </c>
      <c r="L22" s="22">
        <f>L9*('Product Mix'!$F$7+('Product Mix'!$G$7-'Product Mix'!$F$7)*MIN(1,IFERROR(L9/'Product Mix'!$E$7,0)))</f>
        <v/>
      </c>
      <c r="M22" s="22">
        <f>M9*('Product Mix'!$F$7+('Product Mix'!$G$7-'Product Mix'!$F$7)*MIN(1,IFERROR(M9/'Product Mix'!$E$7,0)))</f>
        <v/>
      </c>
      <c r="N22" s="22">
        <f>N9*('Product Mix'!$F$7+('Product Mix'!$G$7-'Product Mix'!$F$7)*MIN(1,IFERROR(N9/'Product Mix'!$E$7,0)))</f>
        <v/>
      </c>
      <c r="O22" s="22">
        <f>O9*('Product Mix'!$F$7+('Product Mix'!$G$7-'Product Mix'!$F$7)*MIN(1,IFERROR(O9/'Product Mix'!$E$7,0)))</f>
        <v/>
      </c>
      <c r="P22" s="22">
        <f>P9*('Product Mix'!$F$7+('Product Mix'!$G$7-'Product Mix'!$F$7)*MIN(1,IFERROR(P9/'Product Mix'!$E$7,0)))</f>
        <v/>
      </c>
      <c r="Q22" s="22">
        <f>Q9*('Product Mix'!$F$7+('Product Mix'!$G$7-'Product Mix'!$F$7)*MIN(1,IFERROR(Q9/'Product Mix'!$E$7,0)))</f>
        <v/>
      </c>
      <c r="R22" s="22">
        <f>R9*('Product Mix'!$F$7+('Product Mix'!$G$7-'Product Mix'!$F$7)*MIN(1,IFERROR(R9/'Product Mix'!$E$7,0)))</f>
        <v/>
      </c>
      <c r="S22" s="22">
        <f>S9*('Product Mix'!$F$7+('Product Mix'!$G$7-'Product Mix'!$F$7)*MIN(1,IFERROR(S9/'Product Mix'!$E$7,0)))</f>
        <v/>
      </c>
      <c r="T22" s="22">
        <f>T9*('Product Mix'!$F$7+('Product Mix'!$G$7-'Product Mix'!$F$7)*MIN(1,IFERROR(T9/'Product Mix'!$E$7,0)))</f>
        <v/>
      </c>
      <c r="U22" s="22">
        <f>U9*('Product Mix'!$F$7+('Product Mix'!$G$7-'Product Mix'!$F$7)*MIN(1,IFERROR(U9/'Product Mix'!$E$7,0)))</f>
        <v/>
      </c>
      <c r="V22" s="22">
        <f>V9*('Product Mix'!$F$7+('Product Mix'!$G$7-'Product Mix'!$F$7)*MIN(1,IFERROR(V9/'Product Mix'!$E$7,0)))</f>
        <v/>
      </c>
      <c r="W22" s="22">
        <f>W9*('Product Mix'!$F$7+('Product Mix'!$G$7-'Product Mix'!$F$7)*MIN(1,IFERROR(W9/'Product Mix'!$E$7,0)))</f>
        <v/>
      </c>
      <c r="X22" s="22">
        <f>X9*('Product Mix'!$F$7+('Product Mix'!$G$7-'Product Mix'!$F$7)*MIN(1,IFERROR(X9/'Product Mix'!$E$7,0)))</f>
        <v/>
      </c>
      <c r="Y22" s="22">
        <f>Y9*('Product Mix'!$F$7+('Product Mix'!$G$7-'Product Mix'!$F$7)*MIN(1,IFERROR(Y9/'Product Mix'!$E$7,0)))</f>
        <v/>
      </c>
      <c r="Z22" s="22">
        <f>Z9*('Product Mix'!$F$7+('Product Mix'!$G$7-'Product Mix'!$F$7)*MIN(1,IFERROR(Z9/'Product Mix'!$E$7,0)))</f>
        <v/>
      </c>
      <c r="AA22" s="22">
        <f>AA9*('Product Mix'!$F$7+('Product Mix'!$G$7-'Product Mix'!$F$7)*MIN(1,IFERROR(AA9/'Product Mix'!$E$7,0)))</f>
        <v/>
      </c>
    </row>
    <row r="23">
      <c r="A23" s="10" t="inlineStr">
        <is>
          <t>Polymer composites and masterbatch</t>
        </is>
      </c>
      <c r="B23" s="6" t="inlineStr">
        <is>
          <t>$</t>
        </is>
      </c>
      <c r="C23" s="22">
        <f>C10*('Product Mix'!$F$8+('Product Mix'!$G$8-'Product Mix'!$F$8)*MIN(1,IFERROR(C10/'Product Mix'!$E$8,0)))</f>
        <v/>
      </c>
      <c r="D23" s="22">
        <f>D10*('Product Mix'!$F$8+('Product Mix'!$G$8-'Product Mix'!$F$8)*MIN(1,IFERROR(D10/'Product Mix'!$E$8,0)))</f>
        <v/>
      </c>
      <c r="E23" s="22">
        <f>E10*('Product Mix'!$F$8+('Product Mix'!$G$8-'Product Mix'!$F$8)*MIN(1,IFERROR(E10/'Product Mix'!$E$8,0)))</f>
        <v/>
      </c>
      <c r="F23" s="22">
        <f>F10*('Product Mix'!$F$8+('Product Mix'!$G$8-'Product Mix'!$F$8)*MIN(1,IFERROR(F10/'Product Mix'!$E$8,0)))</f>
        <v/>
      </c>
      <c r="G23" s="22">
        <f>G10*('Product Mix'!$F$8+('Product Mix'!$G$8-'Product Mix'!$F$8)*MIN(1,IFERROR(G10/'Product Mix'!$E$8,0)))</f>
        <v/>
      </c>
      <c r="H23" s="22">
        <f>H10*('Product Mix'!$F$8+('Product Mix'!$G$8-'Product Mix'!$F$8)*MIN(1,IFERROR(H10/'Product Mix'!$E$8,0)))</f>
        <v/>
      </c>
      <c r="I23" s="22">
        <f>I10*('Product Mix'!$F$8+('Product Mix'!$G$8-'Product Mix'!$F$8)*MIN(1,IFERROR(I10/'Product Mix'!$E$8,0)))</f>
        <v/>
      </c>
      <c r="J23" s="22">
        <f>J10*('Product Mix'!$F$8+('Product Mix'!$G$8-'Product Mix'!$F$8)*MIN(1,IFERROR(J10/'Product Mix'!$E$8,0)))</f>
        <v/>
      </c>
      <c r="K23" s="22">
        <f>K10*('Product Mix'!$F$8+('Product Mix'!$G$8-'Product Mix'!$F$8)*MIN(1,IFERROR(K10/'Product Mix'!$E$8,0)))</f>
        <v/>
      </c>
      <c r="L23" s="22">
        <f>L10*('Product Mix'!$F$8+('Product Mix'!$G$8-'Product Mix'!$F$8)*MIN(1,IFERROR(L10/'Product Mix'!$E$8,0)))</f>
        <v/>
      </c>
      <c r="M23" s="22">
        <f>M10*('Product Mix'!$F$8+('Product Mix'!$G$8-'Product Mix'!$F$8)*MIN(1,IFERROR(M10/'Product Mix'!$E$8,0)))</f>
        <v/>
      </c>
      <c r="N23" s="22">
        <f>N10*('Product Mix'!$F$8+('Product Mix'!$G$8-'Product Mix'!$F$8)*MIN(1,IFERROR(N10/'Product Mix'!$E$8,0)))</f>
        <v/>
      </c>
      <c r="O23" s="22">
        <f>O10*('Product Mix'!$F$8+('Product Mix'!$G$8-'Product Mix'!$F$8)*MIN(1,IFERROR(O10/'Product Mix'!$E$8,0)))</f>
        <v/>
      </c>
      <c r="P23" s="22">
        <f>P10*('Product Mix'!$F$8+('Product Mix'!$G$8-'Product Mix'!$F$8)*MIN(1,IFERROR(P10/'Product Mix'!$E$8,0)))</f>
        <v/>
      </c>
      <c r="Q23" s="22">
        <f>Q10*('Product Mix'!$F$8+('Product Mix'!$G$8-'Product Mix'!$F$8)*MIN(1,IFERROR(Q10/'Product Mix'!$E$8,0)))</f>
        <v/>
      </c>
      <c r="R23" s="22">
        <f>R10*('Product Mix'!$F$8+('Product Mix'!$G$8-'Product Mix'!$F$8)*MIN(1,IFERROR(R10/'Product Mix'!$E$8,0)))</f>
        <v/>
      </c>
      <c r="S23" s="22">
        <f>S10*('Product Mix'!$F$8+('Product Mix'!$G$8-'Product Mix'!$F$8)*MIN(1,IFERROR(S10/'Product Mix'!$E$8,0)))</f>
        <v/>
      </c>
      <c r="T23" s="22">
        <f>T10*('Product Mix'!$F$8+('Product Mix'!$G$8-'Product Mix'!$F$8)*MIN(1,IFERROR(T10/'Product Mix'!$E$8,0)))</f>
        <v/>
      </c>
      <c r="U23" s="22">
        <f>U10*('Product Mix'!$F$8+('Product Mix'!$G$8-'Product Mix'!$F$8)*MIN(1,IFERROR(U10/'Product Mix'!$E$8,0)))</f>
        <v/>
      </c>
      <c r="V23" s="22">
        <f>V10*('Product Mix'!$F$8+('Product Mix'!$G$8-'Product Mix'!$F$8)*MIN(1,IFERROR(V10/'Product Mix'!$E$8,0)))</f>
        <v/>
      </c>
      <c r="W23" s="22">
        <f>W10*('Product Mix'!$F$8+('Product Mix'!$G$8-'Product Mix'!$F$8)*MIN(1,IFERROR(W10/'Product Mix'!$E$8,0)))</f>
        <v/>
      </c>
      <c r="X23" s="22">
        <f>X10*('Product Mix'!$F$8+('Product Mix'!$G$8-'Product Mix'!$F$8)*MIN(1,IFERROR(X10/'Product Mix'!$E$8,0)))</f>
        <v/>
      </c>
      <c r="Y23" s="22">
        <f>Y10*('Product Mix'!$F$8+('Product Mix'!$G$8-'Product Mix'!$F$8)*MIN(1,IFERROR(Y10/'Product Mix'!$E$8,0)))</f>
        <v/>
      </c>
      <c r="Z23" s="22">
        <f>Z10*('Product Mix'!$F$8+('Product Mix'!$G$8-'Product Mix'!$F$8)*MIN(1,IFERROR(Z10/'Product Mix'!$E$8,0)))</f>
        <v/>
      </c>
      <c r="AA23" s="22">
        <f>AA10*('Product Mix'!$F$8+('Product Mix'!$G$8-'Product Mix'!$F$8)*MIN(1,IFERROR(AA10/'Product Mix'!$E$8,0)))</f>
        <v/>
      </c>
    </row>
    <row r="24">
      <c r="A24" s="10" t="inlineStr">
        <is>
          <t>Battery conductive additive</t>
        </is>
      </c>
      <c r="B24" s="6" t="inlineStr">
        <is>
          <t>$</t>
        </is>
      </c>
      <c r="C24" s="22">
        <f>C11*('Product Mix'!$F$9+('Product Mix'!$G$9-'Product Mix'!$F$9)*MIN(1,IFERROR(C11/'Product Mix'!$E$9,0)))</f>
        <v/>
      </c>
      <c r="D24" s="22">
        <f>D11*('Product Mix'!$F$9+('Product Mix'!$G$9-'Product Mix'!$F$9)*MIN(1,IFERROR(D11/'Product Mix'!$E$9,0)))</f>
        <v/>
      </c>
      <c r="E24" s="22">
        <f>E11*('Product Mix'!$F$9+('Product Mix'!$G$9-'Product Mix'!$F$9)*MIN(1,IFERROR(E11/'Product Mix'!$E$9,0)))</f>
        <v/>
      </c>
      <c r="F24" s="22">
        <f>F11*('Product Mix'!$F$9+('Product Mix'!$G$9-'Product Mix'!$F$9)*MIN(1,IFERROR(F11/'Product Mix'!$E$9,0)))</f>
        <v/>
      </c>
      <c r="G24" s="22">
        <f>G11*('Product Mix'!$F$9+('Product Mix'!$G$9-'Product Mix'!$F$9)*MIN(1,IFERROR(G11/'Product Mix'!$E$9,0)))</f>
        <v/>
      </c>
      <c r="H24" s="22">
        <f>H11*('Product Mix'!$F$9+('Product Mix'!$G$9-'Product Mix'!$F$9)*MIN(1,IFERROR(H11/'Product Mix'!$E$9,0)))</f>
        <v/>
      </c>
      <c r="I24" s="22">
        <f>I11*('Product Mix'!$F$9+('Product Mix'!$G$9-'Product Mix'!$F$9)*MIN(1,IFERROR(I11/'Product Mix'!$E$9,0)))</f>
        <v/>
      </c>
      <c r="J24" s="22">
        <f>J11*('Product Mix'!$F$9+('Product Mix'!$G$9-'Product Mix'!$F$9)*MIN(1,IFERROR(J11/'Product Mix'!$E$9,0)))</f>
        <v/>
      </c>
      <c r="K24" s="22">
        <f>K11*('Product Mix'!$F$9+('Product Mix'!$G$9-'Product Mix'!$F$9)*MIN(1,IFERROR(K11/'Product Mix'!$E$9,0)))</f>
        <v/>
      </c>
      <c r="L24" s="22">
        <f>L11*('Product Mix'!$F$9+('Product Mix'!$G$9-'Product Mix'!$F$9)*MIN(1,IFERROR(L11/'Product Mix'!$E$9,0)))</f>
        <v/>
      </c>
      <c r="M24" s="22">
        <f>M11*('Product Mix'!$F$9+('Product Mix'!$G$9-'Product Mix'!$F$9)*MIN(1,IFERROR(M11/'Product Mix'!$E$9,0)))</f>
        <v/>
      </c>
      <c r="N24" s="22">
        <f>N11*('Product Mix'!$F$9+('Product Mix'!$G$9-'Product Mix'!$F$9)*MIN(1,IFERROR(N11/'Product Mix'!$E$9,0)))</f>
        <v/>
      </c>
      <c r="O24" s="22">
        <f>O11*('Product Mix'!$F$9+('Product Mix'!$G$9-'Product Mix'!$F$9)*MIN(1,IFERROR(O11/'Product Mix'!$E$9,0)))</f>
        <v/>
      </c>
      <c r="P24" s="22">
        <f>P11*('Product Mix'!$F$9+('Product Mix'!$G$9-'Product Mix'!$F$9)*MIN(1,IFERROR(P11/'Product Mix'!$E$9,0)))</f>
        <v/>
      </c>
      <c r="Q24" s="22">
        <f>Q11*('Product Mix'!$F$9+('Product Mix'!$G$9-'Product Mix'!$F$9)*MIN(1,IFERROR(Q11/'Product Mix'!$E$9,0)))</f>
        <v/>
      </c>
      <c r="R24" s="22">
        <f>R11*('Product Mix'!$F$9+('Product Mix'!$G$9-'Product Mix'!$F$9)*MIN(1,IFERROR(R11/'Product Mix'!$E$9,0)))</f>
        <v/>
      </c>
      <c r="S24" s="22">
        <f>S11*('Product Mix'!$F$9+('Product Mix'!$G$9-'Product Mix'!$F$9)*MIN(1,IFERROR(S11/'Product Mix'!$E$9,0)))</f>
        <v/>
      </c>
      <c r="T24" s="22">
        <f>T11*('Product Mix'!$F$9+('Product Mix'!$G$9-'Product Mix'!$F$9)*MIN(1,IFERROR(T11/'Product Mix'!$E$9,0)))</f>
        <v/>
      </c>
      <c r="U24" s="22">
        <f>U11*('Product Mix'!$F$9+('Product Mix'!$G$9-'Product Mix'!$F$9)*MIN(1,IFERROR(U11/'Product Mix'!$E$9,0)))</f>
        <v/>
      </c>
      <c r="V24" s="22">
        <f>V11*('Product Mix'!$F$9+('Product Mix'!$G$9-'Product Mix'!$F$9)*MIN(1,IFERROR(V11/'Product Mix'!$E$9,0)))</f>
        <v/>
      </c>
      <c r="W24" s="22">
        <f>W11*('Product Mix'!$F$9+('Product Mix'!$G$9-'Product Mix'!$F$9)*MIN(1,IFERROR(W11/'Product Mix'!$E$9,0)))</f>
        <v/>
      </c>
      <c r="X24" s="22">
        <f>X11*('Product Mix'!$F$9+('Product Mix'!$G$9-'Product Mix'!$F$9)*MIN(1,IFERROR(X11/'Product Mix'!$E$9,0)))</f>
        <v/>
      </c>
      <c r="Y24" s="22">
        <f>Y11*('Product Mix'!$F$9+('Product Mix'!$G$9-'Product Mix'!$F$9)*MIN(1,IFERROR(Y11/'Product Mix'!$E$9,0)))</f>
        <v/>
      </c>
      <c r="Z24" s="22">
        <f>Z11*('Product Mix'!$F$9+('Product Mix'!$G$9-'Product Mix'!$F$9)*MIN(1,IFERROR(Z11/'Product Mix'!$E$9,0)))</f>
        <v/>
      </c>
      <c r="AA24" s="22">
        <f>AA11*('Product Mix'!$F$9+('Product Mix'!$G$9-'Product Mix'!$F$9)*MIN(1,IFERROR(AA11/'Product Mix'!$E$9,0)))</f>
        <v/>
      </c>
    </row>
    <row r="25">
      <c r="A25" s="10" t="inlineStr">
        <is>
          <t>Silicon-graphene composite anode</t>
        </is>
      </c>
      <c r="B25" s="6" t="inlineStr">
        <is>
          <t>$</t>
        </is>
      </c>
      <c r="C25" s="22">
        <f>C12*('Product Mix'!$F$10+('Product Mix'!$G$10-'Product Mix'!$F$10)*MIN(1,IFERROR(C12/'Product Mix'!$E$10,0)))</f>
        <v/>
      </c>
      <c r="D25" s="22">
        <f>D12*('Product Mix'!$F$10+('Product Mix'!$G$10-'Product Mix'!$F$10)*MIN(1,IFERROR(D12/'Product Mix'!$E$10,0)))</f>
        <v/>
      </c>
      <c r="E25" s="22">
        <f>E12*('Product Mix'!$F$10+('Product Mix'!$G$10-'Product Mix'!$F$10)*MIN(1,IFERROR(E12/'Product Mix'!$E$10,0)))</f>
        <v/>
      </c>
      <c r="F25" s="22">
        <f>F12*('Product Mix'!$F$10+('Product Mix'!$G$10-'Product Mix'!$F$10)*MIN(1,IFERROR(F12/'Product Mix'!$E$10,0)))</f>
        <v/>
      </c>
      <c r="G25" s="22">
        <f>G12*('Product Mix'!$F$10+('Product Mix'!$G$10-'Product Mix'!$F$10)*MIN(1,IFERROR(G12/'Product Mix'!$E$10,0)))</f>
        <v/>
      </c>
      <c r="H25" s="22">
        <f>H12*('Product Mix'!$F$10+('Product Mix'!$G$10-'Product Mix'!$F$10)*MIN(1,IFERROR(H12/'Product Mix'!$E$10,0)))</f>
        <v/>
      </c>
      <c r="I25" s="22">
        <f>I12*('Product Mix'!$F$10+('Product Mix'!$G$10-'Product Mix'!$F$10)*MIN(1,IFERROR(I12/'Product Mix'!$E$10,0)))</f>
        <v/>
      </c>
      <c r="J25" s="22">
        <f>J12*('Product Mix'!$F$10+('Product Mix'!$G$10-'Product Mix'!$F$10)*MIN(1,IFERROR(J12/'Product Mix'!$E$10,0)))</f>
        <v/>
      </c>
      <c r="K25" s="22">
        <f>K12*('Product Mix'!$F$10+('Product Mix'!$G$10-'Product Mix'!$F$10)*MIN(1,IFERROR(K12/'Product Mix'!$E$10,0)))</f>
        <v/>
      </c>
      <c r="L25" s="22">
        <f>L12*('Product Mix'!$F$10+('Product Mix'!$G$10-'Product Mix'!$F$10)*MIN(1,IFERROR(L12/'Product Mix'!$E$10,0)))</f>
        <v/>
      </c>
      <c r="M25" s="22">
        <f>M12*('Product Mix'!$F$10+('Product Mix'!$G$10-'Product Mix'!$F$10)*MIN(1,IFERROR(M12/'Product Mix'!$E$10,0)))</f>
        <v/>
      </c>
      <c r="N25" s="22">
        <f>N12*('Product Mix'!$F$10+('Product Mix'!$G$10-'Product Mix'!$F$10)*MIN(1,IFERROR(N12/'Product Mix'!$E$10,0)))</f>
        <v/>
      </c>
      <c r="O25" s="22">
        <f>O12*('Product Mix'!$F$10+('Product Mix'!$G$10-'Product Mix'!$F$10)*MIN(1,IFERROR(O12/'Product Mix'!$E$10,0)))</f>
        <v/>
      </c>
      <c r="P25" s="22">
        <f>P12*('Product Mix'!$F$10+('Product Mix'!$G$10-'Product Mix'!$F$10)*MIN(1,IFERROR(P12/'Product Mix'!$E$10,0)))</f>
        <v/>
      </c>
      <c r="Q25" s="22">
        <f>Q12*('Product Mix'!$F$10+('Product Mix'!$G$10-'Product Mix'!$F$10)*MIN(1,IFERROR(Q12/'Product Mix'!$E$10,0)))</f>
        <v/>
      </c>
      <c r="R25" s="22">
        <f>R12*('Product Mix'!$F$10+('Product Mix'!$G$10-'Product Mix'!$F$10)*MIN(1,IFERROR(R12/'Product Mix'!$E$10,0)))</f>
        <v/>
      </c>
      <c r="S25" s="22">
        <f>S12*('Product Mix'!$F$10+('Product Mix'!$G$10-'Product Mix'!$F$10)*MIN(1,IFERROR(S12/'Product Mix'!$E$10,0)))</f>
        <v/>
      </c>
      <c r="T25" s="22">
        <f>T12*('Product Mix'!$F$10+('Product Mix'!$G$10-'Product Mix'!$F$10)*MIN(1,IFERROR(T12/'Product Mix'!$E$10,0)))</f>
        <v/>
      </c>
      <c r="U25" s="22">
        <f>U12*('Product Mix'!$F$10+('Product Mix'!$G$10-'Product Mix'!$F$10)*MIN(1,IFERROR(U12/'Product Mix'!$E$10,0)))</f>
        <v/>
      </c>
      <c r="V25" s="22">
        <f>V12*('Product Mix'!$F$10+('Product Mix'!$G$10-'Product Mix'!$F$10)*MIN(1,IFERROR(V12/'Product Mix'!$E$10,0)))</f>
        <v/>
      </c>
      <c r="W25" s="22">
        <f>W12*('Product Mix'!$F$10+('Product Mix'!$G$10-'Product Mix'!$F$10)*MIN(1,IFERROR(W12/'Product Mix'!$E$10,0)))</f>
        <v/>
      </c>
      <c r="X25" s="22">
        <f>X12*('Product Mix'!$F$10+('Product Mix'!$G$10-'Product Mix'!$F$10)*MIN(1,IFERROR(X12/'Product Mix'!$E$10,0)))</f>
        <v/>
      </c>
      <c r="Y25" s="22">
        <f>Y12*('Product Mix'!$F$10+('Product Mix'!$G$10-'Product Mix'!$F$10)*MIN(1,IFERROR(Y12/'Product Mix'!$E$10,0)))</f>
        <v/>
      </c>
      <c r="Z25" s="22">
        <f>Z12*('Product Mix'!$F$10+('Product Mix'!$G$10-'Product Mix'!$F$10)*MIN(1,IFERROR(Z12/'Product Mix'!$E$10,0)))</f>
        <v/>
      </c>
      <c r="AA25" s="22">
        <f>AA12*('Product Mix'!$F$10+('Product Mix'!$G$10-'Product Mix'!$F$10)*MIN(1,IFERROR(AA12/'Product Mix'!$E$10,0)))</f>
        <v/>
      </c>
    </row>
    <row r="26">
      <c r="A26" s="10" t="inlineStr">
        <is>
          <t>Coatings: anti-corrosion, marine</t>
        </is>
      </c>
      <c r="B26" s="6" t="inlineStr">
        <is>
          <t>$</t>
        </is>
      </c>
      <c r="C26" s="22">
        <f>C13*('Product Mix'!$F$11+('Product Mix'!$G$11-'Product Mix'!$F$11)*MIN(1,IFERROR(C13/'Product Mix'!$E$11,0)))</f>
        <v/>
      </c>
      <c r="D26" s="22">
        <f>D13*('Product Mix'!$F$11+('Product Mix'!$G$11-'Product Mix'!$F$11)*MIN(1,IFERROR(D13/'Product Mix'!$E$11,0)))</f>
        <v/>
      </c>
      <c r="E26" s="22">
        <f>E13*('Product Mix'!$F$11+('Product Mix'!$G$11-'Product Mix'!$F$11)*MIN(1,IFERROR(E13/'Product Mix'!$E$11,0)))</f>
        <v/>
      </c>
      <c r="F26" s="22">
        <f>F13*('Product Mix'!$F$11+('Product Mix'!$G$11-'Product Mix'!$F$11)*MIN(1,IFERROR(F13/'Product Mix'!$E$11,0)))</f>
        <v/>
      </c>
      <c r="G26" s="22">
        <f>G13*('Product Mix'!$F$11+('Product Mix'!$G$11-'Product Mix'!$F$11)*MIN(1,IFERROR(G13/'Product Mix'!$E$11,0)))</f>
        <v/>
      </c>
      <c r="H26" s="22">
        <f>H13*('Product Mix'!$F$11+('Product Mix'!$G$11-'Product Mix'!$F$11)*MIN(1,IFERROR(H13/'Product Mix'!$E$11,0)))</f>
        <v/>
      </c>
      <c r="I26" s="22">
        <f>I13*('Product Mix'!$F$11+('Product Mix'!$G$11-'Product Mix'!$F$11)*MIN(1,IFERROR(I13/'Product Mix'!$E$11,0)))</f>
        <v/>
      </c>
      <c r="J26" s="22">
        <f>J13*('Product Mix'!$F$11+('Product Mix'!$G$11-'Product Mix'!$F$11)*MIN(1,IFERROR(J13/'Product Mix'!$E$11,0)))</f>
        <v/>
      </c>
      <c r="K26" s="22">
        <f>K13*('Product Mix'!$F$11+('Product Mix'!$G$11-'Product Mix'!$F$11)*MIN(1,IFERROR(K13/'Product Mix'!$E$11,0)))</f>
        <v/>
      </c>
      <c r="L26" s="22">
        <f>L13*('Product Mix'!$F$11+('Product Mix'!$G$11-'Product Mix'!$F$11)*MIN(1,IFERROR(L13/'Product Mix'!$E$11,0)))</f>
        <v/>
      </c>
      <c r="M26" s="22">
        <f>M13*('Product Mix'!$F$11+('Product Mix'!$G$11-'Product Mix'!$F$11)*MIN(1,IFERROR(M13/'Product Mix'!$E$11,0)))</f>
        <v/>
      </c>
      <c r="N26" s="22">
        <f>N13*('Product Mix'!$F$11+('Product Mix'!$G$11-'Product Mix'!$F$11)*MIN(1,IFERROR(N13/'Product Mix'!$E$11,0)))</f>
        <v/>
      </c>
      <c r="O26" s="22">
        <f>O13*('Product Mix'!$F$11+('Product Mix'!$G$11-'Product Mix'!$F$11)*MIN(1,IFERROR(O13/'Product Mix'!$E$11,0)))</f>
        <v/>
      </c>
      <c r="P26" s="22">
        <f>P13*('Product Mix'!$F$11+('Product Mix'!$G$11-'Product Mix'!$F$11)*MIN(1,IFERROR(P13/'Product Mix'!$E$11,0)))</f>
        <v/>
      </c>
      <c r="Q26" s="22">
        <f>Q13*('Product Mix'!$F$11+('Product Mix'!$G$11-'Product Mix'!$F$11)*MIN(1,IFERROR(Q13/'Product Mix'!$E$11,0)))</f>
        <v/>
      </c>
      <c r="R26" s="22">
        <f>R13*('Product Mix'!$F$11+('Product Mix'!$G$11-'Product Mix'!$F$11)*MIN(1,IFERROR(R13/'Product Mix'!$E$11,0)))</f>
        <v/>
      </c>
      <c r="S26" s="22">
        <f>S13*('Product Mix'!$F$11+('Product Mix'!$G$11-'Product Mix'!$F$11)*MIN(1,IFERROR(S13/'Product Mix'!$E$11,0)))</f>
        <v/>
      </c>
      <c r="T26" s="22">
        <f>T13*('Product Mix'!$F$11+('Product Mix'!$G$11-'Product Mix'!$F$11)*MIN(1,IFERROR(T13/'Product Mix'!$E$11,0)))</f>
        <v/>
      </c>
      <c r="U26" s="22">
        <f>U13*('Product Mix'!$F$11+('Product Mix'!$G$11-'Product Mix'!$F$11)*MIN(1,IFERROR(U13/'Product Mix'!$E$11,0)))</f>
        <v/>
      </c>
      <c r="V26" s="22">
        <f>V13*('Product Mix'!$F$11+('Product Mix'!$G$11-'Product Mix'!$F$11)*MIN(1,IFERROR(V13/'Product Mix'!$E$11,0)))</f>
        <v/>
      </c>
      <c r="W26" s="22">
        <f>W13*('Product Mix'!$F$11+('Product Mix'!$G$11-'Product Mix'!$F$11)*MIN(1,IFERROR(W13/'Product Mix'!$E$11,0)))</f>
        <v/>
      </c>
      <c r="X26" s="22">
        <f>X13*('Product Mix'!$F$11+('Product Mix'!$G$11-'Product Mix'!$F$11)*MIN(1,IFERROR(X13/'Product Mix'!$E$11,0)))</f>
        <v/>
      </c>
      <c r="Y26" s="22">
        <f>Y13*('Product Mix'!$F$11+('Product Mix'!$G$11-'Product Mix'!$F$11)*MIN(1,IFERROR(Y13/'Product Mix'!$E$11,0)))</f>
        <v/>
      </c>
      <c r="Z26" s="22">
        <f>Z13*('Product Mix'!$F$11+('Product Mix'!$G$11-'Product Mix'!$F$11)*MIN(1,IFERROR(Z13/'Product Mix'!$E$11,0)))</f>
        <v/>
      </c>
      <c r="AA26" s="22">
        <f>AA13*('Product Mix'!$F$11+('Product Mix'!$G$11-'Product Mix'!$F$11)*MIN(1,IFERROR(AA13/'Product Mix'!$E$11,0)))</f>
        <v/>
      </c>
    </row>
    <row r="27">
      <c r="A27" s="10" t="inlineStr">
        <is>
          <t>Thermal management and data-center cooling</t>
        </is>
      </c>
      <c r="B27" s="6" t="inlineStr">
        <is>
          <t>$</t>
        </is>
      </c>
      <c r="C27" s="22">
        <f>C14*('Product Mix'!$F$12+('Product Mix'!$G$12-'Product Mix'!$F$12)*MIN(1,IFERROR(C14/'Product Mix'!$E$12,0)))</f>
        <v/>
      </c>
      <c r="D27" s="22">
        <f>D14*('Product Mix'!$F$12+('Product Mix'!$G$12-'Product Mix'!$F$12)*MIN(1,IFERROR(D14/'Product Mix'!$E$12,0)))</f>
        <v/>
      </c>
      <c r="E27" s="22">
        <f>E14*('Product Mix'!$F$12+('Product Mix'!$G$12-'Product Mix'!$F$12)*MIN(1,IFERROR(E14/'Product Mix'!$E$12,0)))</f>
        <v/>
      </c>
      <c r="F27" s="22">
        <f>F14*('Product Mix'!$F$12+('Product Mix'!$G$12-'Product Mix'!$F$12)*MIN(1,IFERROR(F14/'Product Mix'!$E$12,0)))</f>
        <v/>
      </c>
      <c r="G27" s="22">
        <f>G14*('Product Mix'!$F$12+('Product Mix'!$G$12-'Product Mix'!$F$12)*MIN(1,IFERROR(G14/'Product Mix'!$E$12,0)))</f>
        <v/>
      </c>
      <c r="H27" s="22">
        <f>H14*('Product Mix'!$F$12+('Product Mix'!$G$12-'Product Mix'!$F$12)*MIN(1,IFERROR(H14/'Product Mix'!$E$12,0)))</f>
        <v/>
      </c>
      <c r="I27" s="22">
        <f>I14*('Product Mix'!$F$12+('Product Mix'!$G$12-'Product Mix'!$F$12)*MIN(1,IFERROR(I14/'Product Mix'!$E$12,0)))</f>
        <v/>
      </c>
      <c r="J27" s="22">
        <f>J14*('Product Mix'!$F$12+('Product Mix'!$G$12-'Product Mix'!$F$12)*MIN(1,IFERROR(J14/'Product Mix'!$E$12,0)))</f>
        <v/>
      </c>
      <c r="K27" s="22">
        <f>K14*('Product Mix'!$F$12+('Product Mix'!$G$12-'Product Mix'!$F$12)*MIN(1,IFERROR(K14/'Product Mix'!$E$12,0)))</f>
        <v/>
      </c>
      <c r="L27" s="22">
        <f>L14*('Product Mix'!$F$12+('Product Mix'!$G$12-'Product Mix'!$F$12)*MIN(1,IFERROR(L14/'Product Mix'!$E$12,0)))</f>
        <v/>
      </c>
      <c r="M27" s="22">
        <f>M14*('Product Mix'!$F$12+('Product Mix'!$G$12-'Product Mix'!$F$12)*MIN(1,IFERROR(M14/'Product Mix'!$E$12,0)))</f>
        <v/>
      </c>
      <c r="N27" s="22">
        <f>N14*('Product Mix'!$F$12+('Product Mix'!$G$12-'Product Mix'!$F$12)*MIN(1,IFERROR(N14/'Product Mix'!$E$12,0)))</f>
        <v/>
      </c>
      <c r="O27" s="22">
        <f>O14*('Product Mix'!$F$12+('Product Mix'!$G$12-'Product Mix'!$F$12)*MIN(1,IFERROR(O14/'Product Mix'!$E$12,0)))</f>
        <v/>
      </c>
      <c r="P27" s="22">
        <f>P14*('Product Mix'!$F$12+('Product Mix'!$G$12-'Product Mix'!$F$12)*MIN(1,IFERROR(P14/'Product Mix'!$E$12,0)))</f>
        <v/>
      </c>
      <c r="Q27" s="22">
        <f>Q14*('Product Mix'!$F$12+('Product Mix'!$G$12-'Product Mix'!$F$12)*MIN(1,IFERROR(Q14/'Product Mix'!$E$12,0)))</f>
        <v/>
      </c>
      <c r="R27" s="22">
        <f>R14*('Product Mix'!$F$12+('Product Mix'!$G$12-'Product Mix'!$F$12)*MIN(1,IFERROR(R14/'Product Mix'!$E$12,0)))</f>
        <v/>
      </c>
      <c r="S27" s="22">
        <f>S14*('Product Mix'!$F$12+('Product Mix'!$G$12-'Product Mix'!$F$12)*MIN(1,IFERROR(S14/'Product Mix'!$E$12,0)))</f>
        <v/>
      </c>
      <c r="T27" s="22">
        <f>T14*('Product Mix'!$F$12+('Product Mix'!$G$12-'Product Mix'!$F$12)*MIN(1,IFERROR(T14/'Product Mix'!$E$12,0)))</f>
        <v/>
      </c>
      <c r="U27" s="22">
        <f>U14*('Product Mix'!$F$12+('Product Mix'!$G$12-'Product Mix'!$F$12)*MIN(1,IFERROR(U14/'Product Mix'!$E$12,0)))</f>
        <v/>
      </c>
      <c r="V27" s="22">
        <f>V14*('Product Mix'!$F$12+('Product Mix'!$G$12-'Product Mix'!$F$12)*MIN(1,IFERROR(V14/'Product Mix'!$E$12,0)))</f>
        <v/>
      </c>
      <c r="W27" s="22">
        <f>W14*('Product Mix'!$F$12+('Product Mix'!$G$12-'Product Mix'!$F$12)*MIN(1,IFERROR(W14/'Product Mix'!$E$12,0)))</f>
        <v/>
      </c>
      <c r="X27" s="22">
        <f>X14*('Product Mix'!$F$12+('Product Mix'!$G$12-'Product Mix'!$F$12)*MIN(1,IFERROR(X14/'Product Mix'!$E$12,0)))</f>
        <v/>
      </c>
      <c r="Y27" s="22">
        <f>Y14*('Product Mix'!$F$12+('Product Mix'!$G$12-'Product Mix'!$F$12)*MIN(1,IFERROR(Y14/'Product Mix'!$E$12,0)))</f>
        <v/>
      </c>
      <c r="Z27" s="22">
        <f>Z14*('Product Mix'!$F$12+('Product Mix'!$G$12-'Product Mix'!$F$12)*MIN(1,IFERROR(Z14/'Product Mix'!$E$12,0)))</f>
        <v/>
      </c>
      <c r="AA27" s="22">
        <f>AA14*('Product Mix'!$F$12+('Product Mix'!$G$12-'Product Mix'!$F$12)*MIN(1,IFERROR(AA14/'Product Mix'!$E$12,0)))</f>
        <v/>
      </c>
    </row>
    <row r="28">
      <c r="A28" s="10" t="inlineStr">
        <is>
          <t>Aerospace and defense composites</t>
        </is>
      </c>
      <c r="B28" s="6" t="inlineStr">
        <is>
          <t>$</t>
        </is>
      </c>
      <c r="C28" s="22">
        <f>C15*('Product Mix'!$F$13+('Product Mix'!$G$13-'Product Mix'!$F$13)*MIN(1,IFERROR(C15/'Product Mix'!$E$13,0)))</f>
        <v/>
      </c>
      <c r="D28" s="22">
        <f>D15*('Product Mix'!$F$13+('Product Mix'!$G$13-'Product Mix'!$F$13)*MIN(1,IFERROR(D15/'Product Mix'!$E$13,0)))</f>
        <v/>
      </c>
      <c r="E28" s="22">
        <f>E15*('Product Mix'!$F$13+('Product Mix'!$G$13-'Product Mix'!$F$13)*MIN(1,IFERROR(E15/'Product Mix'!$E$13,0)))</f>
        <v/>
      </c>
      <c r="F28" s="22">
        <f>F15*('Product Mix'!$F$13+('Product Mix'!$G$13-'Product Mix'!$F$13)*MIN(1,IFERROR(F15/'Product Mix'!$E$13,0)))</f>
        <v/>
      </c>
      <c r="G28" s="22">
        <f>G15*('Product Mix'!$F$13+('Product Mix'!$G$13-'Product Mix'!$F$13)*MIN(1,IFERROR(G15/'Product Mix'!$E$13,0)))</f>
        <v/>
      </c>
      <c r="H28" s="22">
        <f>H15*('Product Mix'!$F$13+('Product Mix'!$G$13-'Product Mix'!$F$13)*MIN(1,IFERROR(H15/'Product Mix'!$E$13,0)))</f>
        <v/>
      </c>
      <c r="I28" s="22">
        <f>I15*('Product Mix'!$F$13+('Product Mix'!$G$13-'Product Mix'!$F$13)*MIN(1,IFERROR(I15/'Product Mix'!$E$13,0)))</f>
        <v/>
      </c>
      <c r="J28" s="22">
        <f>J15*('Product Mix'!$F$13+('Product Mix'!$G$13-'Product Mix'!$F$13)*MIN(1,IFERROR(J15/'Product Mix'!$E$13,0)))</f>
        <v/>
      </c>
      <c r="K28" s="22">
        <f>K15*('Product Mix'!$F$13+('Product Mix'!$G$13-'Product Mix'!$F$13)*MIN(1,IFERROR(K15/'Product Mix'!$E$13,0)))</f>
        <v/>
      </c>
      <c r="L28" s="22">
        <f>L15*('Product Mix'!$F$13+('Product Mix'!$G$13-'Product Mix'!$F$13)*MIN(1,IFERROR(L15/'Product Mix'!$E$13,0)))</f>
        <v/>
      </c>
      <c r="M28" s="22">
        <f>M15*('Product Mix'!$F$13+('Product Mix'!$G$13-'Product Mix'!$F$13)*MIN(1,IFERROR(M15/'Product Mix'!$E$13,0)))</f>
        <v/>
      </c>
      <c r="N28" s="22">
        <f>N15*('Product Mix'!$F$13+('Product Mix'!$G$13-'Product Mix'!$F$13)*MIN(1,IFERROR(N15/'Product Mix'!$E$13,0)))</f>
        <v/>
      </c>
      <c r="O28" s="22">
        <f>O15*('Product Mix'!$F$13+('Product Mix'!$G$13-'Product Mix'!$F$13)*MIN(1,IFERROR(O15/'Product Mix'!$E$13,0)))</f>
        <v/>
      </c>
      <c r="P28" s="22">
        <f>P15*('Product Mix'!$F$13+('Product Mix'!$G$13-'Product Mix'!$F$13)*MIN(1,IFERROR(P15/'Product Mix'!$E$13,0)))</f>
        <v/>
      </c>
      <c r="Q28" s="22">
        <f>Q15*('Product Mix'!$F$13+('Product Mix'!$G$13-'Product Mix'!$F$13)*MIN(1,IFERROR(Q15/'Product Mix'!$E$13,0)))</f>
        <v/>
      </c>
      <c r="R28" s="22">
        <f>R15*('Product Mix'!$F$13+('Product Mix'!$G$13-'Product Mix'!$F$13)*MIN(1,IFERROR(R15/'Product Mix'!$E$13,0)))</f>
        <v/>
      </c>
      <c r="S28" s="22">
        <f>S15*('Product Mix'!$F$13+('Product Mix'!$G$13-'Product Mix'!$F$13)*MIN(1,IFERROR(S15/'Product Mix'!$E$13,0)))</f>
        <v/>
      </c>
      <c r="T28" s="22">
        <f>T15*('Product Mix'!$F$13+('Product Mix'!$G$13-'Product Mix'!$F$13)*MIN(1,IFERROR(T15/'Product Mix'!$E$13,0)))</f>
        <v/>
      </c>
      <c r="U28" s="22">
        <f>U15*('Product Mix'!$F$13+('Product Mix'!$G$13-'Product Mix'!$F$13)*MIN(1,IFERROR(U15/'Product Mix'!$E$13,0)))</f>
        <v/>
      </c>
      <c r="V28" s="22">
        <f>V15*('Product Mix'!$F$13+('Product Mix'!$G$13-'Product Mix'!$F$13)*MIN(1,IFERROR(V15/'Product Mix'!$E$13,0)))</f>
        <v/>
      </c>
      <c r="W28" s="22">
        <f>W15*('Product Mix'!$F$13+('Product Mix'!$G$13-'Product Mix'!$F$13)*MIN(1,IFERROR(W15/'Product Mix'!$E$13,0)))</f>
        <v/>
      </c>
      <c r="X28" s="22">
        <f>X15*('Product Mix'!$F$13+('Product Mix'!$G$13-'Product Mix'!$F$13)*MIN(1,IFERROR(X15/'Product Mix'!$E$13,0)))</f>
        <v/>
      </c>
      <c r="Y28" s="22">
        <f>Y15*('Product Mix'!$F$13+('Product Mix'!$G$13-'Product Mix'!$F$13)*MIN(1,IFERROR(Y15/'Product Mix'!$E$13,0)))</f>
        <v/>
      </c>
      <c r="Z28" s="22">
        <f>Z15*('Product Mix'!$F$13+('Product Mix'!$G$13-'Product Mix'!$F$13)*MIN(1,IFERROR(Z15/'Product Mix'!$E$13,0)))</f>
        <v/>
      </c>
      <c r="AA28" s="22">
        <f>AA15*('Product Mix'!$F$13+('Product Mix'!$G$13-'Product Mix'!$F$13)*MIN(1,IFERROR(AA15/'Product Mix'!$E$13,0)))</f>
        <v/>
      </c>
    </row>
    <row r="29">
      <c r="A29" s="10" t="inlineStr">
        <is>
          <t>Specialty: membranes, sensors, EMI</t>
        </is>
      </c>
      <c r="B29" s="6" t="inlineStr">
        <is>
          <t>$</t>
        </is>
      </c>
      <c r="C29" s="22">
        <f>C16*('Product Mix'!$F$14+('Product Mix'!$G$14-'Product Mix'!$F$14)*MIN(1,IFERROR(C16/'Product Mix'!$E$14,0)))</f>
        <v/>
      </c>
      <c r="D29" s="22">
        <f>D16*('Product Mix'!$F$14+('Product Mix'!$G$14-'Product Mix'!$F$14)*MIN(1,IFERROR(D16/'Product Mix'!$E$14,0)))</f>
        <v/>
      </c>
      <c r="E29" s="22">
        <f>E16*('Product Mix'!$F$14+('Product Mix'!$G$14-'Product Mix'!$F$14)*MIN(1,IFERROR(E16/'Product Mix'!$E$14,0)))</f>
        <v/>
      </c>
      <c r="F29" s="22">
        <f>F16*('Product Mix'!$F$14+('Product Mix'!$G$14-'Product Mix'!$F$14)*MIN(1,IFERROR(F16/'Product Mix'!$E$14,0)))</f>
        <v/>
      </c>
      <c r="G29" s="22">
        <f>G16*('Product Mix'!$F$14+('Product Mix'!$G$14-'Product Mix'!$F$14)*MIN(1,IFERROR(G16/'Product Mix'!$E$14,0)))</f>
        <v/>
      </c>
      <c r="H29" s="22">
        <f>H16*('Product Mix'!$F$14+('Product Mix'!$G$14-'Product Mix'!$F$14)*MIN(1,IFERROR(H16/'Product Mix'!$E$14,0)))</f>
        <v/>
      </c>
      <c r="I29" s="22">
        <f>I16*('Product Mix'!$F$14+('Product Mix'!$G$14-'Product Mix'!$F$14)*MIN(1,IFERROR(I16/'Product Mix'!$E$14,0)))</f>
        <v/>
      </c>
      <c r="J29" s="22">
        <f>J16*('Product Mix'!$F$14+('Product Mix'!$G$14-'Product Mix'!$F$14)*MIN(1,IFERROR(J16/'Product Mix'!$E$14,0)))</f>
        <v/>
      </c>
      <c r="K29" s="22">
        <f>K16*('Product Mix'!$F$14+('Product Mix'!$G$14-'Product Mix'!$F$14)*MIN(1,IFERROR(K16/'Product Mix'!$E$14,0)))</f>
        <v/>
      </c>
      <c r="L29" s="22">
        <f>L16*('Product Mix'!$F$14+('Product Mix'!$G$14-'Product Mix'!$F$14)*MIN(1,IFERROR(L16/'Product Mix'!$E$14,0)))</f>
        <v/>
      </c>
      <c r="M29" s="22">
        <f>M16*('Product Mix'!$F$14+('Product Mix'!$G$14-'Product Mix'!$F$14)*MIN(1,IFERROR(M16/'Product Mix'!$E$14,0)))</f>
        <v/>
      </c>
      <c r="N29" s="22">
        <f>N16*('Product Mix'!$F$14+('Product Mix'!$G$14-'Product Mix'!$F$14)*MIN(1,IFERROR(N16/'Product Mix'!$E$14,0)))</f>
        <v/>
      </c>
      <c r="O29" s="22">
        <f>O16*('Product Mix'!$F$14+('Product Mix'!$G$14-'Product Mix'!$F$14)*MIN(1,IFERROR(O16/'Product Mix'!$E$14,0)))</f>
        <v/>
      </c>
      <c r="P29" s="22">
        <f>P16*('Product Mix'!$F$14+('Product Mix'!$G$14-'Product Mix'!$F$14)*MIN(1,IFERROR(P16/'Product Mix'!$E$14,0)))</f>
        <v/>
      </c>
      <c r="Q29" s="22">
        <f>Q16*('Product Mix'!$F$14+('Product Mix'!$G$14-'Product Mix'!$F$14)*MIN(1,IFERROR(Q16/'Product Mix'!$E$14,0)))</f>
        <v/>
      </c>
      <c r="R29" s="22">
        <f>R16*('Product Mix'!$F$14+('Product Mix'!$G$14-'Product Mix'!$F$14)*MIN(1,IFERROR(R16/'Product Mix'!$E$14,0)))</f>
        <v/>
      </c>
      <c r="S29" s="22">
        <f>S16*('Product Mix'!$F$14+('Product Mix'!$G$14-'Product Mix'!$F$14)*MIN(1,IFERROR(S16/'Product Mix'!$E$14,0)))</f>
        <v/>
      </c>
      <c r="T29" s="22">
        <f>T16*('Product Mix'!$F$14+('Product Mix'!$G$14-'Product Mix'!$F$14)*MIN(1,IFERROR(T16/'Product Mix'!$E$14,0)))</f>
        <v/>
      </c>
      <c r="U29" s="22">
        <f>U16*('Product Mix'!$F$14+('Product Mix'!$G$14-'Product Mix'!$F$14)*MIN(1,IFERROR(U16/'Product Mix'!$E$14,0)))</f>
        <v/>
      </c>
      <c r="V29" s="22">
        <f>V16*('Product Mix'!$F$14+('Product Mix'!$G$14-'Product Mix'!$F$14)*MIN(1,IFERROR(V16/'Product Mix'!$E$14,0)))</f>
        <v/>
      </c>
      <c r="W29" s="22">
        <f>W16*('Product Mix'!$F$14+('Product Mix'!$G$14-'Product Mix'!$F$14)*MIN(1,IFERROR(W16/'Product Mix'!$E$14,0)))</f>
        <v/>
      </c>
      <c r="X29" s="22">
        <f>X16*('Product Mix'!$F$14+('Product Mix'!$G$14-'Product Mix'!$F$14)*MIN(1,IFERROR(X16/'Product Mix'!$E$14,0)))</f>
        <v/>
      </c>
      <c r="Y29" s="22">
        <f>Y16*('Product Mix'!$F$14+('Product Mix'!$G$14-'Product Mix'!$F$14)*MIN(1,IFERROR(Y16/'Product Mix'!$E$14,0)))</f>
        <v/>
      </c>
      <c r="Z29" s="22">
        <f>Z16*('Product Mix'!$F$14+('Product Mix'!$G$14-'Product Mix'!$F$14)*MIN(1,IFERROR(Z16/'Product Mix'!$E$14,0)))</f>
        <v/>
      </c>
      <c r="AA29" s="22">
        <f>AA16*('Product Mix'!$F$14+('Product Mix'!$G$14-'Product Mix'!$F$14)*MIN(1,IFERROR(AA16/'Product Mix'!$E$14,0)))</f>
        <v/>
      </c>
    </row>
    <row r="30">
      <c r="A30" s="3" t="inlineStr">
        <is>
          <t>Total graphene revenue</t>
        </is>
      </c>
      <c r="B30" s="6" t="inlineStr">
        <is>
          <t>$</t>
        </is>
      </c>
      <c r="C30" s="25">
        <f>SUM(C20:C29)</f>
        <v/>
      </c>
      <c r="D30" s="25">
        <f>SUM(D20:D29)</f>
        <v/>
      </c>
      <c r="E30" s="25">
        <f>SUM(E20:E29)</f>
        <v/>
      </c>
      <c r="F30" s="25">
        <f>SUM(F20:F29)</f>
        <v/>
      </c>
      <c r="G30" s="25">
        <f>SUM(G20:G29)</f>
        <v/>
      </c>
      <c r="H30" s="25">
        <f>SUM(H20:H29)</f>
        <v/>
      </c>
      <c r="I30" s="25">
        <f>SUM(I20:I29)</f>
        <v/>
      </c>
      <c r="J30" s="25">
        <f>SUM(J20:J29)</f>
        <v/>
      </c>
      <c r="K30" s="25">
        <f>SUM(K20:K29)</f>
        <v/>
      </c>
      <c r="L30" s="25">
        <f>SUM(L20:L29)</f>
        <v/>
      </c>
      <c r="M30" s="25">
        <f>SUM(M20:M29)</f>
        <v/>
      </c>
      <c r="N30" s="25">
        <f>SUM(N20:N29)</f>
        <v/>
      </c>
      <c r="O30" s="25">
        <f>SUM(O20:O29)</f>
        <v/>
      </c>
      <c r="P30" s="25">
        <f>SUM(P20:P29)</f>
        <v/>
      </c>
      <c r="Q30" s="25">
        <f>SUM(Q20:Q29)</f>
        <v/>
      </c>
      <c r="R30" s="25">
        <f>SUM(R20:R29)</f>
        <v/>
      </c>
      <c r="S30" s="25">
        <f>SUM(S20:S29)</f>
        <v/>
      </c>
      <c r="T30" s="25">
        <f>SUM(T20:T29)</f>
        <v/>
      </c>
      <c r="U30" s="25">
        <f>SUM(U20:U29)</f>
        <v/>
      </c>
      <c r="V30" s="25">
        <f>SUM(V20:V29)</f>
        <v/>
      </c>
      <c r="W30" s="25">
        <f>SUM(W20:W29)</f>
        <v/>
      </c>
      <c r="X30" s="25">
        <f>SUM(X20:X29)</f>
        <v/>
      </c>
      <c r="Y30" s="25">
        <f>SUM(Y20:Y29)</f>
        <v/>
      </c>
      <c r="Z30" s="25">
        <f>SUM(Z20:Z29)</f>
        <v/>
      </c>
      <c r="AA30" s="25">
        <f>SUM(AA20:AA29)</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A14"/>
  <sheetViews>
    <sheetView showGridLines="0" workbookViewId="0">
      <selection activeCell="A1" sqref="A1"/>
    </sheetView>
  </sheetViews>
  <sheetFormatPr baseColWidth="8" defaultRowHeight="15"/>
  <cols>
    <col width="42" customWidth="1" min="1" max="1"/>
    <col width="12"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s>
  <sheetData>
    <row r="1">
      <c r="A1" s="1" t="inlineStr">
        <is>
          <t>Tonnage, price and revenue</t>
        </is>
      </c>
    </row>
    <row r="2">
      <c r="A2" s="6" t="inlineStr">
        <is>
          <t>Summary of the segment build on Mix Ramp. Case A is the anchor book, B is phase 1 as scoped, C is full conversion of the carbon into product.</t>
        </is>
      </c>
    </row>
    <row r="4">
      <c r="A4" s="9" t="n"/>
      <c r="B4" s="29" t="inlineStr">
        <is>
          <t>Unit</t>
        </is>
      </c>
      <c r="C4" s="30" t="inlineStr">
        <is>
          <t>Y1</t>
        </is>
      </c>
      <c r="D4" s="30" t="inlineStr">
        <is>
          <t>Y2</t>
        </is>
      </c>
      <c r="E4" s="30" t="inlineStr">
        <is>
          <t>Y3</t>
        </is>
      </c>
      <c r="F4" s="30" t="inlineStr">
        <is>
          <t>Y4</t>
        </is>
      </c>
      <c r="G4" s="30" t="inlineStr">
        <is>
          <t>Y5</t>
        </is>
      </c>
      <c r="H4" s="30" t="inlineStr">
        <is>
          <t>Y6</t>
        </is>
      </c>
      <c r="I4" s="30" t="inlineStr">
        <is>
          <t>Y7</t>
        </is>
      </c>
      <c r="J4" s="30" t="inlineStr">
        <is>
          <t>Y8</t>
        </is>
      </c>
      <c r="K4" s="30" t="inlineStr">
        <is>
          <t>Y9</t>
        </is>
      </c>
      <c r="L4" s="30" t="inlineStr">
        <is>
          <t>Y10</t>
        </is>
      </c>
      <c r="M4" s="30" t="inlineStr">
        <is>
          <t>Y11</t>
        </is>
      </c>
      <c r="N4" s="30" t="inlineStr">
        <is>
          <t>Y12</t>
        </is>
      </c>
      <c r="O4" s="30" t="inlineStr">
        <is>
          <t>Y13</t>
        </is>
      </c>
      <c r="P4" s="30" t="inlineStr">
        <is>
          <t>Y14</t>
        </is>
      </c>
      <c r="Q4" s="30" t="inlineStr">
        <is>
          <t>Y15</t>
        </is>
      </c>
      <c r="R4" s="30" t="inlineStr">
        <is>
          <t>Y16</t>
        </is>
      </c>
      <c r="S4" s="30" t="inlineStr">
        <is>
          <t>Y17</t>
        </is>
      </c>
      <c r="T4" s="30" t="inlineStr">
        <is>
          <t>Y18</t>
        </is>
      </c>
      <c r="U4" s="30" t="inlineStr">
        <is>
          <t>Y19</t>
        </is>
      </c>
      <c r="V4" s="30" t="inlineStr">
        <is>
          <t>Y20</t>
        </is>
      </c>
      <c r="W4" s="30" t="inlineStr">
        <is>
          <t>Y21</t>
        </is>
      </c>
      <c r="X4" s="30" t="inlineStr">
        <is>
          <t>Y22</t>
        </is>
      </c>
      <c r="Y4" s="30" t="inlineStr">
        <is>
          <t>Y23</t>
        </is>
      </c>
      <c r="Z4" s="30" t="inlineStr">
        <is>
          <t>Y24</t>
        </is>
      </c>
      <c r="AA4" s="30" t="inlineStr">
        <is>
          <t>Y25</t>
        </is>
      </c>
    </row>
    <row r="6">
      <c r="A6" s="3" t="inlineStr">
        <is>
          <t>Graphene tonnage sold</t>
        </is>
      </c>
      <c r="B6" s="6" t="inlineStr">
        <is>
          <t>t/yr</t>
        </is>
      </c>
      <c r="C6" s="23">
        <f>'Mix Ramp'!C17</f>
        <v/>
      </c>
      <c r="D6" s="23">
        <f>'Mix Ramp'!D17</f>
        <v/>
      </c>
      <c r="E6" s="23">
        <f>'Mix Ramp'!E17</f>
        <v/>
      </c>
      <c r="F6" s="23">
        <f>'Mix Ramp'!F17</f>
        <v/>
      </c>
      <c r="G6" s="23">
        <f>'Mix Ramp'!G17</f>
        <v/>
      </c>
      <c r="H6" s="23">
        <f>'Mix Ramp'!H17</f>
        <v/>
      </c>
      <c r="I6" s="23">
        <f>'Mix Ramp'!I17</f>
        <v/>
      </c>
      <c r="J6" s="23">
        <f>'Mix Ramp'!J17</f>
        <v/>
      </c>
      <c r="K6" s="23">
        <f>'Mix Ramp'!K17</f>
        <v/>
      </c>
      <c r="L6" s="23">
        <f>'Mix Ramp'!L17</f>
        <v/>
      </c>
      <c r="M6" s="23">
        <f>'Mix Ramp'!M17</f>
        <v/>
      </c>
      <c r="N6" s="23">
        <f>'Mix Ramp'!N17</f>
        <v/>
      </c>
      <c r="O6" s="23">
        <f>'Mix Ramp'!O17</f>
        <v/>
      </c>
      <c r="P6" s="23">
        <f>'Mix Ramp'!P17</f>
        <v/>
      </c>
      <c r="Q6" s="23">
        <f>'Mix Ramp'!Q17</f>
        <v/>
      </c>
      <c r="R6" s="23">
        <f>'Mix Ramp'!R17</f>
        <v/>
      </c>
      <c r="S6" s="23">
        <f>'Mix Ramp'!S17</f>
        <v/>
      </c>
      <c r="T6" s="23">
        <f>'Mix Ramp'!T17</f>
        <v/>
      </c>
      <c r="U6" s="23">
        <f>'Mix Ramp'!U17</f>
        <v/>
      </c>
      <c r="V6" s="23">
        <f>'Mix Ramp'!V17</f>
        <v/>
      </c>
      <c r="W6" s="23">
        <f>'Mix Ramp'!W17</f>
        <v/>
      </c>
      <c r="X6" s="23">
        <f>'Mix Ramp'!X17</f>
        <v/>
      </c>
      <c r="Y6" s="23">
        <f>'Mix Ramp'!Y17</f>
        <v/>
      </c>
      <c r="Z6" s="23">
        <f>'Mix Ramp'!Z17</f>
        <v/>
      </c>
      <c r="AA6" s="23">
        <f>'Mix Ramp'!AA17</f>
        <v/>
      </c>
    </row>
    <row r="7">
      <c r="A7" s="10" t="inlineStr">
        <is>
          <t>Realized blended price</t>
        </is>
      </c>
      <c r="B7" s="6" t="inlineStr">
        <is>
          <t>$/t</t>
        </is>
      </c>
      <c r="C7" s="31">
        <f>IFERROR('Mix Ramp'!C30/C6,0)</f>
        <v/>
      </c>
      <c r="D7" s="31">
        <f>IFERROR('Mix Ramp'!D30/D6,0)</f>
        <v/>
      </c>
      <c r="E7" s="31">
        <f>IFERROR('Mix Ramp'!E30/E6,0)</f>
        <v/>
      </c>
      <c r="F7" s="31">
        <f>IFERROR('Mix Ramp'!F30/F6,0)</f>
        <v/>
      </c>
      <c r="G7" s="31">
        <f>IFERROR('Mix Ramp'!G30/G6,0)</f>
        <v/>
      </c>
      <c r="H7" s="31">
        <f>IFERROR('Mix Ramp'!H30/H6,0)</f>
        <v/>
      </c>
      <c r="I7" s="31">
        <f>IFERROR('Mix Ramp'!I30/I6,0)</f>
        <v/>
      </c>
      <c r="J7" s="31">
        <f>IFERROR('Mix Ramp'!J30/J6,0)</f>
        <v/>
      </c>
      <c r="K7" s="31">
        <f>IFERROR('Mix Ramp'!K30/K6,0)</f>
        <v/>
      </c>
      <c r="L7" s="31">
        <f>IFERROR('Mix Ramp'!L30/L6,0)</f>
        <v/>
      </c>
      <c r="M7" s="31">
        <f>IFERROR('Mix Ramp'!M30/M6,0)</f>
        <v/>
      </c>
      <c r="N7" s="31">
        <f>IFERROR('Mix Ramp'!N30/N6,0)</f>
        <v/>
      </c>
      <c r="O7" s="31">
        <f>IFERROR('Mix Ramp'!O30/O6,0)</f>
        <v/>
      </c>
      <c r="P7" s="31">
        <f>IFERROR('Mix Ramp'!P30/P6,0)</f>
        <v/>
      </c>
      <c r="Q7" s="31">
        <f>IFERROR('Mix Ramp'!Q30/Q6,0)</f>
        <v/>
      </c>
      <c r="R7" s="31">
        <f>IFERROR('Mix Ramp'!R30/R6,0)</f>
        <v/>
      </c>
      <c r="S7" s="31">
        <f>IFERROR('Mix Ramp'!S30/S6,0)</f>
        <v/>
      </c>
      <c r="T7" s="31">
        <f>IFERROR('Mix Ramp'!T30/T6,0)</f>
        <v/>
      </c>
      <c r="U7" s="31">
        <f>IFERROR('Mix Ramp'!U30/U6,0)</f>
        <v/>
      </c>
      <c r="V7" s="31">
        <f>IFERROR('Mix Ramp'!V30/V6,0)</f>
        <v/>
      </c>
      <c r="W7" s="31">
        <f>IFERROR('Mix Ramp'!W30/W6,0)</f>
        <v/>
      </c>
      <c r="X7" s="31">
        <f>IFERROR('Mix Ramp'!X30/X6,0)</f>
        <v/>
      </c>
      <c r="Y7" s="31">
        <f>IFERROR('Mix Ramp'!Y30/Y6,0)</f>
        <v/>
      </c>
      <c r="Z7" s="31">
        <f>IFERROR('Mix Ramp'!Z30/Z6,0)</f>
        <v/>
      </c>
      <c r="AA7" s="31">
        <f>IFERROR('Mix Ramp'!AA30/AA6,0)</f>
        <v/>
      </c>
    </row>
    <row r="8">
      <c r="A8" s="3" t="inlineStr">
        <is>
          <t>Graphene revenue</t>
        </is>
      </c>
      <c r="B8" s="6" t="inlineStr">
        <is>
          <t>$</t>
        </is>
      </c>
      <c r="C8" s="32">
        <f>'Mix Ramp'!C30</f>
        <v/>
      </c>
      <c r="D8" s="32">
        <f>'Mix Ramp'!D30</f>
        <v/>
      </c>
      <c r="E8" s="32">
        <f>'Mix Ramp'!E30</f>
        <v/>
      </c>
      <c r="F8" s="32">
        <f>'Mix Ramp'!F30</f>
        <v/>
      </c>
      <c r="G8" s="32">
        <f>'Mix Ramp'!G30</f>
        <v/>
      </c>
      <c r="H8" s="32">
        <f>'Mix Ramp'!H30</f>
        <v/>
      </c>
      <c r="I8" s="32">
        <f>'Mix Ramp'!I30</f>
        <v/>
      </c>
      <c r="J8" s="32">
        <f>'Mix Ramp'!J30</f>
        <v/>
      </c>
      <c r="K8" s="32">
        <f>'Mix Ramp'!K30</f>
        <v/>
      </c>
      <c r="L8" s="32">
        <f>'Mix Ramp'!L30</f>
        <v/>
      </c>
      <c r="M8" s="32">
        <f>'Mix Ramp'!M30</f>
        <v/>
      </c>
      <c r="N8" s="32">
        <f>'Mix Ramp'!N30</f>
        <v/>
      </c>
      <c r="O8" s="32">
        <f>'Mix Ramp'!O30</f>
        <v/>
      </c>
      <c r="P8" s="32">
        <f>'Mix Ramp'!P30</f>
        <v/>
      </c>
      <c r="Q8" s="32">
        <f>'Mix Ramp'!Q30</f>
        <v/>
      </c>
      <c r="R8" s="32">
        <f>'Mix Ramp'!R30</f>
        <v/>
      </c>
      <c r="S8" s="32">
        <f>'Mix Ramp'!S30</f>
        <v/>
      </c>
      <c r="T8" s="32">
        <f>'Mix Ramp'!T30</f>
        <v/>
      </c>
      <c r="U8" s="32">
        <f>'Mix Ramp'!U30</f>
        <v/>
      </c>
      <c r="V8" s="32">
        <f>'Mix Ramp'!V30</f>
        <v/>
      </c>
      <c r="W8" s="32">
        <f>'Mix Ramp'!W30</f>
        <v/>
      </c>
      <c r="X8" s="32">
        <f>'Mix Ramp'!X30</f>
        <v/>
      </c>
      <c r="Y8" s="32">
        <f>'Mix Ramp'!Y30</f>
        <v/>
      </c>
      <c r="Z8" s="32">
        <f>'Mix Ramp'!Z30</f>
        <v/>
      </c>
      <c r="AA8" s="32">
        <f>'Mix Ramp'!AA30</f>
        <v/>
      </c>
    </row>
    <row r="10">
      <c r="A10" s="3" t="inlineStr">
        <is>
          <t>Reality checks</t>
        </is>
      </c>
    </row>
    <row r="11">
      <c r="A11" s="10" t="inlineStr">
        <is>
          <t>Carbon available from the CO₂ stream</t>
        </is>
      </c>
      <c r="B11" s="6" t="inlineStr">
        <is>
          <t>t/yr</t>
        </is>
      </c>
      <c r="C11" s="21">
        <f>Assumptions!$B$7*Assumptions!$B$8*Assumptions!$B$9</f>
        <v/>
      </c>
      <c r="D11" s="21">
        <f>Assumptions!$B$7*Assumptions!$B$8*Assumptions!$B$9</f>
        <v/>
      </c>
      <c r="E11" s="21">
        <f>Assumptions!$B$7*Assumptions!$B$8*Assumptions!$B$9</f>
        <v/>
      </c>
      <c r="F11" s="21">
        <f>Assumptions!$B$7*Assumptions!$B$8*Assumptions!$B$9</f>
        <v/>
      </c>
      <c r="G11" s="21">
        <f>Assumptions!$B$7*Assumptions!$B$8*Assumptions!$B$9</f>
        <v/>
      </c>
      <c r="H11" s="21">
        <f>Assumptions!$B$7*Assumptions!$B$8*Assumptions!$B$9</f>
        <v/>
      </c>
      <c r="I11" s="21">
        <f>Assumptions!$B$7*Assumptions!$B$8*Assumptions!$B$9</f>
        <v/>
      </c>
      <c r="J11" s="21">
        <f>Assumptions!$B$7*Assumptions!$B$8*Assumptions!$B$9</f>
        <v/>
      </c>
      <c r="K11" s="21">
        <f>Assumptions!$B$7*Assumptions!$B$8*Assumptions!$B$9</f>
        <v/>
      </c>
      <c r="L11" s="21">
        <f>Assumptions!$B$7*Assumptions!$B$8*Assumptions!$B$9</f>
        <v/>
      </c>
      <c r="M11" s="21">
        <f>Assumptions!$B$7*Assumptions!$B$8*Assumptions!$B$9</f>
        <v/>
      </c>
      <c r="N11" s="21">
        <f>Assumptions!$B$7*Assumptions!$B$8*Assumptions!$B$9</f>
        <v/>
      </c>
      <c r="O11" s="21">
        <f>Assumptions!$B$7*Assumptions!$B$8*Assumptions!$B$9</f>
        <v/>
      </c>
      <c r="P11" s="21">
        <f>Assumptions!$B$7*Assumptions!$B$8*Assumptions!$B$9</f>
        <v/>
      </c>
      <c r="Q11" s="21">
        <f>Assumptions!$B$7*Assumptions!$B$8*Assumptions!$B$9</f>
        <v/>
      </c>
      <c r="R11" s="21">
        <f>Assumptions!$B$7*Assumptions!$B$8*Assumptions!$B$9</f>
        <v/>
      </c>
      <c r="S11" s="21">
        <f>Assumptions!$B$7*Assumptions!$B$8*Assumptions!$B$9</f>
        <v/>
      </c>
      <c r="T11" s="21">
        <f>Assumptions!$B$7*Assumptions!$B$8*Assumptions!$B$9</f>
        <v/>
      </c>
      <c r="U11" s="21">
        <f>Assumptions!$B$7*Assumptions!$B$8*Assumptions!$B$9</f>
        <v/>
      </c>
      <c r="V11" s="21">
        <f>Assumptions!$B$7*Assumptions!$B$8*Assumptions!$B$9</f>
        <v/>
      </c>
      <c r="W11" s="21">
        <f>Assumptions!$B$7*Assumptions!$B$8*Assumptions!$B$9</f>
        <v/>
      </c>
      <c r="X11" s="21">
        <f>Assumptions!$B$7*Assumptions!$B$8*Assumptions!$B$9</f>
        <v/>
      </c>
      <c r="Y11" s="21">
        <f>Assumptions!$B$7*Assumptions!$B$8*Assumptions!$B$9</f>
        <v/>
      </c>
      <c r="Z11" s="21">
        <f>Assumptions!$B$7*Assumptions!$B$8*Assumptions!$B$9</f>
        <v/>
      </c>
      <c r="AA11" s="21">
        <f>Assumptions!$B$7*Assumptions!$B$8*Assumptions!$B$9</f>
        <v/>
      </c>
    </row>
    <row r="12">
      <c r="A12" s="10" t="inlineStr">
        <is>
          <t>Tonnage as a share of the carbon yield</t>
        </is>
      </c>
      <c r="B12" s="6" t="inlineStr"/>
      <c r="C12" s="27">
        <f>IFERROR(C6/C11,0)</f>
        <v/>
      </c>
      <c r="D12" s="27">
        <f>IFERROR(D6/D11,0)</f>
        <v/>
      </c>
      <c r="E12" s="27">
        <f>IFERROR(E6/E11,0)</f>
        <v/>
      </c>
      <c r="F12" s="27">
        <f>IFERROR(F6/F11,0)</f>
        <v/>
      </c>
      <c r="G12" s="27">
        <f>IFERROR(G6/G11,0)</f>
        <v/>
      </c>
      <c r="H12" s="27">
        <f>IFERROR(H6/H11,0)</f>
        <v/>
      </c>
      <c r="I12" s="27">
        <f>IFERROR(I6/I11,0)</f>
        <v/>
      </c>
      <c r="J12" s="27">
        <f>IFERROR(J6/J11,0)</f>
        <v/>
      </c>
      <c r="K12" s="27">
        <f>IFERROR(K6/K11,0)</f>
        <v/>
      </c>
      <c r="L12" s="27">
        <f>IFERROR(L6/L11,0)</f>
        <v/>
      </c>
      <c r="M12" s="27">
        <f>IFERROR(M6/M11,0)</f>
        <v/>
      </c>
      <c r="N12" s="27">
        <f>IFERROR(N6/N11,0)</f>
        <v/>
      </c>
      <c r="O12" s="27">
        <f>IFERROR(O6/O11,0)</f>
        <v/>
      </c>
      <c r="P12" s="27">
        <f>IFERROR(P6/P11,0)</f>
        <v/>
      </c>
      <c r="Q12" s="27">
        <f>IFERROR(Q6/Q11,0)</f>
        <v/>
      </c>
      <c r="R12" s="27">
        <f>IFERROR(R6/R11,0)</f>
        <v/>
      </c>
      <c r="S12" s="27">
        <f>IFERROR(S6/S11,0)</f>
        <v/>
      </c>
      <c r="T12" s="27">
        <f>IFERROR(T6/T11,0)</f>
        <v/>
      </c>
      <c r="U12" s="27">
        <f>IFERROR(U6/U11,0)</f>
        <v/>
      </c>
      <c r="V12" s="27">
        <f>IFERROR(V6/V11,0)</f>
        <v/>
      </c>
      <c r="W12" s="27">
        <f>IFERROR(W6/W11,0)</f>
        <v/>
      </c>
      <c r="X12" s="27">
        <f>IFERROR(X6/X11,0)</f>
        <v/>
      </c>
      <c r="Y12" s="27">
        <f>IFERROR(Y6/Y11,0)</f>
        <v/>
      </c>
      <c r="Z12" s="27">
        <f>IFERROR(Z6/Z11,0)</f>
        <v/>
      </c>
      <c r="AA12" s="27">
        <f>IFERROR(AA6/AA11,0)</f>
        <v/>
      </c>
    </row>
    <row r="13">
      <c r="A13" s="10" t="inlineStr">
        <is>
          <t>Tonnage as a multiple of world graphene demand</t>
        </is>
      </c>
      <c r="B13" s="6" t="inlineStr">
        <is>
          <t>x</t>
        </is>
      </c>
      <c r="C13" s="33">
        <f>IFERROR(C6/Assumptions!$B$29,0)</f>
        <v/>
      </c>
      <c r="D13" s="33">
        <f>IFERROR(D6/Assumptions!$B$29,0)</f>
        <v/>
      </c>
      <c r="E13" s="33">
        <f>IFERROR(E6/Assumptions!$B$29,0)</f>
        <v/>
      </c>
      <c r="F13" s="33">
        <f>IFERROR(F6/Assumptions!$B$29,0)</f>
        <v/>
      </c>
      <c r="G13" s="33">
        <f>IFERROR(G6/Assumptions!$B$29,0)</f>
        <v/>
      </c>
      <c r="H13" s="33">
        <f>IFERROR(H6/Assumptions!$B$29,0)</f>
        <v/>
      </c>
      <c r="I13" s="33">
        <f>IFERROR(I6/Assumptions!$B$29,0)</f>
        <v/>
      </c>
      <c r="J13" s="33">
        <f>IFERROR(J6/Assumptions!$B$29,0)</f>
        <v/>
      </c>
      <c r="K13" s="33">
        <f>IFERROR(K6/Assumptions!$B$29,0)</f>
        <v/>
      </c>
      <c r="L13" s="33">
        <f>IFERROR(L6/Assumptions!$B$29,0)</f>
        <v/>
      </c>
      <c r="M13" s="33">
        <f>IFERROR(M6/Assumptions!$B$29,0)</f>
        <v/>
      </c>
      <c r="N13" s="33">
        <f>IFERROR(N6/Assumptions!$B$29,0)</f>
        <v/>
      </c>
      <c r="O13" s="33">
        <f>IFERROR(O6/Assumptions!$B$29,0)</f>
        <v/>
      </c>
      <c r="P13" s="33">
        <f>IFERROR(P6/Assumptions!$B$29,0)</f>
        <v/>
      </c>
      <c r="Q13" s="33">
        <f>IFERROR(Q6/Assumptions!$B$29,0)</f>
        <v/>
      </c>
      <c r="R13" s="33">
        <f>IFERROR(R6/Assumptions!$B$29,0)</f>
        <v/>
      </c>
      <c r="S13" s="33">
        <f>IFERROR(S6/Assumptions!$B$29,0)</f>
        <v/>
      </c>
      <c r="T13" s="33">
        <f>IFERROR(T6/Assumptions!$B$29,0)</f>
        <v/>
      </c>
      <c r="U13" s="33">
        <f>IFERROR(U6/Assumptions!$B$29,0)</f>
        <v/>
      </c>
      <c r="V13" s="33">
        <f>IFERROR(V6/Assumptions!$B$29,0)</f>
        <v/>
      </c>
      <c r="W13" s="33">
        <f>IFERROR(W6/Assumptions!$B$29,0)</f>
        <v/>
      </c>
      <c r="X13" s="33">
        <f>IFERROR(X6/Assumptions!$B$29,0)</f>
        <v/>
      </c>
      <c r="Y13" s="33">
        <f>IFERROR(Y6/Assumptions!$B$29,0)</f>
        <v/>
      </c>
      <c r="Z13" s="33">
        <f>IFERROR(Z6/Assumptions!$B$29,0)</f>
        <v/>
      </c>
      <c r="AA13" s="33">
        <f>IFERROR(AA6/Assumptions!$B$29,0)</f>
        <v/>
      </c>
    </row>
    <row r="14">
      <c r="A14" s="10" t="inlineStr">
        <is>
          <t>Physically feasible</t>
        </is>
      </c>
      <c r="B14" s="6" t="inlineStr"/>
      <c r="C14" s="28">
        <f>IF(C6&lt;=C11,"yes","OVER YIELD")</f>
        <v/>
      </c>
      <c r="D14" s="28">
        <f>IF(D6&lt;=D11,"yes","OVER YIELD")</f>
        <v/>
      </c>
      <c r="E14" s="28">
        <f>IF(E6&lt;=E11,"yes","OVER YIELD")</f>
        <v/>
      </c>
      <c r="F14" s="28">
        <f>IF(F6&lt;=F11,"yes","OVER YIELD")</f>
        <v/>
      </c>
      <c r="G14" s="28">
        <f>IF(G6&lt;=G11,"yes","OVER YIELD")</f>
        <v/>
      </c>
      <c r="H14" s="28">
        <f>IF(H6&lt;=H11,"yes","OVER YIELD")</f>
        <v/>
      </c>
      <c r="I14" s="28">
        <f>IF(I6&lt;=I11,"yes","OVER YIELD")</f>
        <v/>
      </c>
      <c r="J14" s="28">
        <f>IF(J6&lt;=J11,"yes","OVER YIELD")</f>
        <v/>
      </c>
      <c r="K14" s="28">
        <f>IF(K6&lt;=K11,"yes","OVER YIELD")</f>
        <v/>
      </c>
      <c r="L14" s="28">
        <f>IF(L6&lt;=L11,"yes","OVER YIELD")</f>
        <v/>
      </c>
      <c r="M14" s="28">
        <f>IF(M6&lt;=M11,"yes","OVER YIELD")</f>
        <v/>
      </c>
      <c r="N14" s="28">
        <f>IF(N6&lt;=N11,"yes","OVER YIELD")</f>
        <v/>
      </c>
      <c r="O14" s="28">
        <f>IF(O6&lt;=O11,"yes","OVER YIELD")</f>
        <v/>
      </c>
      <c r="P14" s="28">
        <f>IF(P6&lt;=P11,"yes","OVER YIELD")</f>
        <v/>
      </c>
      <c r="Q14" s="28">
        <f>IF(Q6&lt;=Q11,"yes","OVER YIELD")</f>
        <v/>
      </c>
      <c r="R14" s="28">
        <f>IF(R6&lt;=R11,"yes","OVER YIELD")</f>
        <v/>
      </c>
      <c r="S14" s="28">
        <f>IF(S6&lt;=S11,"yes","OVER YIELD")</f>
        <v/>
      </c>
      <c r="T14" s="28">
        <f>IF(T6&lt;=T11,"yes","OVER YIELD")</f>
        <v/>
      </c>
      <c r="U14" s="28">
        <f>IF(U6&lt;=U11,"yes","OVER YIELD")</f>
        <v/>
      </c>
      <c r="V14" s="28">
        <f>IF(V6&lt;=V11,"yes","OVER YIELD")</f>
        <v/>
      </c>
      <c r="W14" s="28">
        <f>IF(W6&lt;=W11,"yes","OVER YIELD")</f>
        <v/>
      </c>
      <c r="X14" s="28">
        <f>IF(X6&lt;=X11,"yes","OVER YIELD")</f>
        <v/>
      </c>
      <c r="Y14" s="28">
        <f>IF(Y6&lt;=Y11,"yes","OVER YIELD")</f>
        <v/>
      </c>
      <c r="Z14" s="28">
        <f>IF(Z6&lt;=Z11,"yes","OVER YIELD")</f>
        <v/>
      </c>
      <c r="AA14" s="28">
        <f>IF(AA6&lt;=AA11,"yes","OVER YIELD")</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A15"/>
  <sheetViews>
    <sheetView showGridLines="0" workbookViewId="0">
      <selection activeCell="A1" sqref="A1"/>
    </sheetView>
  </sheetViews>
  <sheetFormatPr baseColWidth="8" defaultRowHeight="15"/>
  <cols>
    <col width="42" customWidth="1" min="1" max="1"/>
    <col width="12"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s>
  <sheetData>
    <row r="1">
      <c r="A1" s="1" t="inlineStr">
        <is>
          <t>Mass and energy balance</t>
        </is>
      </c>
    </row>
    <row r="2">
      <c r="A2" s="6" t="inlineStr">
        <is>
          <t>Carbon that is sold becomes graphene; the rest of the captured stream is injected. Both tiers earn §45Q.</t>
        </is>
      </c>
    </row>
    <row r="4">
      <c r="A4" s="9" t="n"/>
      <c r="B4" s="29" t="inlineStr">
        <is>
          <t>Unit</t>
        </is>
      </c>
      <c r="C4" s="30" t="inlineStr">
        <is>
          <t>Y1</t>
        </is>
      </c>
      <c r="D4" s="30" t="inlineStr">
        <is>
          <t>Y2</t>
        </is>
      </c>
      <c r="E4" s="30" t="inlineStr">
        <is>
          <t>Y3</t>
        </is>
      </c>
      <c r="F4" s="30" t="inlineStr">
        <is>
          <t>Y4</t>
        </is>
      </c>
      <c r="G4" s="30" t="inlineStr">
        <is>
          <t>Y5</t>
        </is>
      </c>
      <c r="H4" s="30" t="inlineStr">
        <is>
          <t>Y6</t>
        </is>
      </c>
      <c r="I4" s="30" t="inlineStr">
        <is>
          <t>Y7</t>
        </is>
      </c>
      <c r="J4" s="30" t="inlineStr">
        <is>
          <t>Y8</t>
        </is>
      </c>
      <c r="K4" s="30" t="inlineStr">
        <is>
          <t>Y9</t>
        </is>
      </c>
      <c r="L4" s="30" t="inlineStr">
        <is>
          <t>Y10</t>
        </is>
      </c>
      <c r="M4" s="30" t="inlineStr">
        <is>
          <t>Y11</t>
        </is>
      </c>
      <c r="N4" s="30" t="inlineStr">
        <is>
          <t>Y12</t>
        </is>
      </c>
      <c r="O4" s="30" t="inlineStr">
        <is>
          <t>Y13</t>
        </is>
      </c>
      <c r="P4" s="30" t="inlineStr">
        <is>
          <t>Y14</t>
        </is>
      </c>
      <c r="Q4" s="30" t="inlineStr">
        <is>
          <t>Y15</t>
        </is>
      </c>
      <c r="R4" s="30" t="inlineStr">
        <is>
          <t>Y16</t>
        </is>
      </c>
      <c r="S4" s="30" t="inlineStr">
        <is>
          <t>Y17</t>
        </is>
      </c>
      <c r="T4" s="30" t="inlineStr">
        <is>
          <t>Y18</t>
        </is>
      </c>
      <c r="U4" s="30" t="inlineStr">
        <is>
          <t>Y19</t>
        </is>
      </c>
      <c r="V4" s="30" t="inlineStr">
        <is>
          <t>Y20</t>
        </is>
      </c>
      <c r="W4" s="30" t="inlineStr">
        <is>
          <t>Y21</t>
        </is>
      </c>
      <c r="X4" s="30" t="inlineStr">
        <is>
          <t>Y22</t>
        </is>
      </c>
      <c r="Y4" s="30" t="inlineStr">
        <is>
          <t>Y23</t>
        </is>
      </c>
      <c r="Z4" s="30" t="inlineStr">
        <is>
          <t>Y24</t>
        </is>
      </c>
      <c r="AA4" s="30" t="inlineStr">
        <is>
          <t>Y25</t>
        </is>
      </c>
    </row>
    <row r="6">
      <c r="A6" s="10" t="inlineStr">
        <is>
          <t>CO₂ captured from the biomass plant</t>
        </is>
      </c>
      <c r="B6" s="6" t="inlineStr">
        <is>
          <t>t/yr</t>
        </is>
      </c>
      <c r="C6" s="21">
        <f>Assumptions!$B$7</f>
        <v/>
      </c>
      <c r="D6" s="21">
        <f>Assumptions!$B$7</f>
        <v/>
      </c>
      <c r="E6" s="21">
        <f>Assumptions!$B$7</f>
        <v/>
      </c>
      <c r="F6" s="21">
        <f>Assumptions!$B$7</f>
        <v/>
      </c>
      <c r="G6" s="21">
        <f>Assumptions!$B$7</f>
        <v/>
      </c>
      <c r="H6" s="21">
        <f>Assumptions!$B$7</f>
        <v/>
      </c>
      <c r="I6" s="21">
        <f>Assumptions!$B$7</f>
        <v/>
      </c>
      <c r="J6" s="21">
        <f>Assumptions!$B$7</f>
        <v/>
      </c>
      <c r="K6" s="21">
        <f>Assumptions!$B$7</f>
        <v/>
      </c>
      <c r="L6" s="21">
        <f>Assumptions!$B$7</f>
        <v/>
      </c>
      <c r="M6" s="21">
        <f>Assumptions!$B$7</f>
        <v/>
      </c>
      <c r="N6" s="21">
        <f>Assumptions!$B$7</f>
        <v/>
      </c>
      <c r="O6" s="21">
        <f>Assumptions!$B$7</f>
        <v/>
      </c>
      <c r="P6" s="21">
        <f>Assumptions!$B$7</f>
        <v/>
      </c>
      <c r="Q6" s="21">
        <f>Assumptions!$B$7</f>
        <v/>
      </c>
      <c r="R6" s="21">
        <f>Assumptions!$B$7</f>
        <v/>
      </c>
      <c r="S6" s="21">
        <f>Assumptions!$B$7</f>
        <v/>
      </c>
      <c r="T6" s="21">
        <f>Assumptions!$B$7</f>
        <v/>
      </c>
      <c r="U6" s="21">
        <f>Assumptions!$B$7</f>
        <v/>
      </c>
      <c r="V6" s="21">
        <f>Assumptions!$B$7</f>
        <v/>
      </c>
      <c r="W6" s="21">
        <f>Assumptions!$B$7</f>
        <v/>
      </c>
      <c r="X6" s="21">
        <f>Assumptions!$B$7</f>
        <v/>
      </c>
      <c r="Y6" s="21">
        <f>Assumptions!$B$7</f>
        <v/>
      </c>
      <c r="Z6" s="21">
        <f>Assumptions!$B$7</f>
        <v/>
      </c>
      <c r="AA6" s="21">
        <f>Assumptions!$B$7</f>
        <v/>
      </c>
    </row>
    <row r="7">
      <c r="A7" s="3" t="inlineStr">
        <is>
          <t>Graphene sold (from Revenue Ramp)</t>
        </is>
      </c>
      <c r="B7" s="6" t="inlineStr">
        <is>
          <t>t/yr</t>
        </is>
      </c>
      <c r="C7" s="34">
        <f>'Revenue Ramp'!C6</f>
        <v/>
      </c>
      <c r="D7" s="34">
        <f>'Revenue Ramp'!D6</f>
        <v/>
      </c>
      <c r="E7" s="34">
        <f>'Revenue Ramp'!E6</f>
        <v/>
      </c>
      <c r="F7" s="34">
        <f>'Revenue Ramp'!F6</f>
        <v/>
      </c>
      <c r="G7" s="34">
        <f>'Revenue Ramp'!G6</f>
        <v/>
      </c>
      <c r="H7" s="34">
        <f>'Revenue Ramp'!H6</f>
        <v/>
      </c>
      <c r="I7" s="34">
        <f>'Revenue Ramp'!I6</f>
        <v/>
      </c>
      <c r="J7" s="34">
        <f>'Revenue Ramp'!J6</f>
        <v/>
      </c>
      <c r="K7" s="34">
        <f>'Revenue Ramp'!K6</f>
        <v/>
      </c>
      <c r="L7" s="34">
        <f>'Revenue Ramp'!L6</f>
        <v/>
      </c>
      <c r="M7" s="34">
        <f>'Revenue Ramp'!M6</f>
        <v/>
      </c>
      <c r="N7" s="34">
        <f>'Revenue Ramp'!N6</f>
        <v/>
      </c>
      <c r="O7" s="34">
        <f>'Revenue Ramp'!O6</f>
        <v/>
      </c>
      <c r="P7" s="34">
        <f>'Revenue Ramp'!P6</f>
        <v/>
      </c>
      <c r="Q7" s="34">
        <f>'Revenue Ramp'!Q6</f>
        <v/>
      </c>
      <c r="R7" s="34">
        <f>'Revenue Ramp'!R6</f>
        <v/>
      </c>
      <c r="S7" s="34">
        <f>'Revenue Ramp'!S6</f>
        <v/>
      </c>
      <c r="T7" s="34">
        <f>'Revenue Ramp'!T6</f>
        <v/>
      </c>
      <c r="U7" s="34">
        <f>'Revenue Ramp'!U6</f>
        <v/>
      </c>
      <c r="V7" s="34">
        <f>'Revenue Ramp'!V6</f>
        <v/>
      </c>
      <c r="W7" s="34">
        <f>'Revenue Ramp'!W6</f>
        <v/>
      </c>
      <c r="X7" s="34">
        <f>'Revenue Ramp'!X6</f>
        <v/>
      </c>
      <c r="Y7" s="34">
        <f>'Revenue Ramp'!Y6</f>
        <v/>
      </c>
      <c r="Z7" s="34">
        <f>'Revenue Ramp'!Z6</f>
        <v/>
      </c>
      <c r="AA7" s="34">
        <f>'Revenue Ramp'!AA6</f>
        <v/>
      </c>
    </row>
    <row r="8">
      <c r="A8" s="10" t="inlineStr">
        <is>
          <t>CO₂ consumed as feedstock</t>
        </is>
      </c>
      <c r="B8" s="6" t="inlineStr">
        <is>
          <t>t/yr</t>
        </is>
      </c>
      <c r="C8" s="21">
        <f>C7/Assumptions!$B$9</f>
        <v/>
      </c>
      <c r="D8" s="21">
        <f>D7/Assumptions!$B$9</f>
        <v/>
      </c>
      <c r="E8" s="21">
        <f>E7/Assumptions!$B$9</f>
        <v/>
      </c>
      <c r="F8" s="21">
        <f>F7/Assumptions!$B$9</f>
        <v/>
      </c>
      <c r="G8" s="21">
        <f>G7/Assumptions!$B$9</f>
        <v/>
      </c>
      <c r="H8" s="21">
        <f>H7/Assumptions!$B$9</f>
        <v/>
      </c>
      <c r="I8" s="21">
        <f>I7/Assumptions!$B$9</f>
        <v/>
      </c>
      <c r="J8" s="21">
        <f>J7/Assumptions!$B$9</f>
        <v/>
      </c>
      <c r="K8" s="21">
        <f>K7/Assumptions!$B$9</f>
        <v/>
      </c>
      <c r="L8" s="21">
        <f>L7/Assumptions!$B$9</f>
        <v/>
      </c>
      <c r="M8" s="21">
        <f>M7/Assumptions!$B$9</f>
        <v/>
      </c>
      <c r="N8" s="21">
        <f>N7/Assumptions!$B$9</f>
        <v/>
      </c>
      <c r="O8" s="21">
        <f>O7/Assumptions!$B$9</f>
        <v/>
      </c>
      <c r="P8" s="21">
        <f>P7/Assumptions!$B$9</f>
        <v/>
      </c>
      <c r="Q8" s="21">
        <f>Q7/Assumptions!$B$9</f>
        <v/>
      </c>
      <c r="R8" s="21">
        <f>R7/Assumptions!$B$9</f>
        <v/>
      </c>
      <c r="S8" s="21">
        <f>S7/Assumptions!$B$9</f>
        <v/>
      </c>
      <c r="T8" s="21">
        <f>T7/Assumptions!$B$9</f>
        <v/>
      </c>
      <c r="U8" s="21">
        <f>U7/Assumptions!$B$9</f>
        <v/>
      </c>
      <c r="V8" s="21">
        <f>V7/Assumptions!$B$9</f>
        <v/>
      </c>
      <c r="W8" s="21">
        <f>W7/Assumptions!$B$9</f>
        <v/>
      </c>
      <c r="X8" s="21">
        <f>X7/Assumptions!$B$9</f>
        <v/>
      </c>
      <c r="Y8" s="21">
        <f>Y7/Assumptions!$B$9</f>
        <v/>
      </c>
      <c r="Z8" s="21">
        <f>Z7/Assumptions!$B$9</f>
        <v/>
      </c>
      <c r="AA8" s="21">
        <f>AA7/Assumptions!$B$9</f>
        <v/>
      </c>
    </row>
    <row r="9">
      <c r="A9" s="10" t="inlineStr">
        <is>
          <t>CO₂ injected (balance of the stream)</t>
        </is>
      </c>
      <c r="B9" s="6" t="inlineStr">
        <is>
          <t>t/yr</t>
        </is>
      </c>
      <c r="C9" s="21">
        <f>MAX(0,C6-C8)</f>
        <v/>
      </c>
      <c r="D9" s="21">
        <f>MAX(0,D6-D8)</f>
        <v/>
      </c>
      <c r="E9" s="21">
        <f>MAX(0,E6-E8)</f>
        <v/>
      </c>
      <c r="F9" s="21">
        <f>MAX(0,F6-F8)</f>
        <v/>
      </c>
      <c r="G9" s="21">
        <f>MAX(0,G6-G8)</f>
        <v/>
      </c>
      <c r="H9" s="21">
        <f>MAX(0,H6-H8)</f>
        <v/>
      </c>
      <c r="I9" s="21">
        <f>MAX(0,I6-I8)</f>
        <v/>
      </c>
      <c r="J9" s="21">
        <f>MAX(0,J6-J8)</f>
        <v/>
      </c>
      <c r="K9" s="21">
        <f>MAX(0,K6-K8)</f>
        <v/>
      </c>
      <c r="L9" s="21">
        <f>MAX(0,L6-L8)</f>
        <v/>
      </c>
      <c r="M9" s="21">
        <f>MAX(0,M6-M8)</f>
        <v/>
      </c>
      <c r="N9" s="21">
        <f>MAX(0,N6-N8)</f>
        <v/>
      </c>
      <c r="O9" s="21">
        <f>MAX(0,O6-O8)</f>
        <v/>
      </c>
      <c r="P9" s="21">
        <f>MAX(0,P6-P8)</f>
        <v/>
      </c>
      <c r="Q9" s="21">
        <f>MAX(0,Q6-Q8)</f>
        <v/>
      </c>
      <c r="R9" s="21">
        <f>MAX(0,R6-R8)</f>
        <v/>
      </c>
      <c r="S9" s="21">
        <f>MAX(0,S6-S8)</f>
        <v/>
      </c>
      <c r="T9" s="21">
        <f>MAX(0,T6-T8)</f>
        <v/>
      </c>
      <c r="U9" s="21">
        <f>MAX(0,U6-U8)</f>
        <v/>
      </c>
      <c r="V9" s="21">
        <f>MAX(0,V6-V8)</f>
        <v/>
      </c>
      <c r="W9" s="21">
        <f>MAX(0,W6-W8)</f>
        <v/>
      </c>
      <c r="X9" s="21">
        <f>MAX(0,X6-X8)</f>
        <v/>
      </c>
      <c r="Y9" s="21">
        <f>MAX(0,Y6-Y8)</f>
        <v/>
      </c>
      <c r="Z9" s="21">
        <f>MAX(0,Z6-Z8)</f>
        <v/>
      </c>
      <c r="AA9" s="21">
        <f>MAX(0,AA6-AA8)</f>
        <v/>
      </c>
    </row>
    <row r="10">
      <c r="A10" s="10" t="inlineStr">
        <is>
          <t>O₂ coproduct generated</t>
        </is>
      </c>
      <c r="B10" s="6" t="inlineStr">
        <is>
          <t>t/yr</t>
        </is>
      </c>
      <c r="C10" s="21">
        <f>C7*Assumptions!$B$10</f>
        <v/>
      </c>
      <c r="D10" s="21">
        <f>D7*Assumptions!$B$10</f>
        <v/>
      </c>
      <c r="E10" s="21">
        <f>E7*Assumptions!$B$10</f>
        <v/>
      </c>
      <c r="F10" s="21">
        <f>F7*Assumptions!$B$10</f>
        <v/>
      </c>
      <c r="G10" s="21">
        <f>G7*Assumptions!$B$10</f>
        <v/>
      </c>
      <c r="H10" s="21">
        <f>H7*Assumptions!$B$10</f>
        <v/>
      </c>
      <c r="I10" s="21">
        <f>I7*Assumptions!$B$10</f>
        <v/>
      </c>
      <c r="J10" s="21">
        <f>J7*Assumptions!$B$10</f>
        <v/>
      </c>
      <c r="K10" s="21">
        <f>K7*Assumptions!$B$10</f>
        <v/>
      </c>
      <c r="L10" s="21">
        <f>L7*Assumptions!$B$10</f>
        <v/>
      </c>
      <c r="M10" s="21">
        <f>M7*Assumptions!$B$10</f>
        <v/>
      </c>
      <c r="N10" s="21">
        <f>N7*Assumptions!$B$10</f>
        <v/>
      </c>
      <c r="O10" s="21">
        <f>O7*Assumptions!$B$10</f>
        <v/>
      </c>
      <c r="P10" s="21">
        <f>P7*Assumptions!$B$10</f>
        <v/>
      </c>
      <c r="Q10" s="21">
        <f>Q7*Assumptions!$B$10</f>
        <v/>
      </c>
      <c r="R10" s="21">
        <f>R7*Assumptions!$B$10</f>
        <v/>
      </c>
      <c r="S10" s="21">
        <f>S7*Assumptions!$B$10</f>
        <v/>
      </c>
      <c r="T10" s="21">
        <f>T7*Assumptions!$B$10</f>
        <v/>
      </c>
      <c r="U10" s="21">
        <f>U7*Assumptions!$B$10</f>
        <v/>
      </c>
      <c r="V10" s="21">
        <f>V7*Assumptions!$B$10</f>
        <v/>
      </c>
      <c r="W10" s="21">
        <f>W7*Assumptions!$B$10</f>
        <v/>
      </c>
      <c r="X10" s="21">
        <f>X7*Assumptions!$B$10</f>
        <v/>
      </c>
      <c r="Y10" s="21">
        <f>Y7*Assumptions!$B$10</f>
        <v/>
      </c>
      <c r="Z10" s="21">
        <f>Z7*Assumptions!$B$10</f>
        <v/>
      </c>
      <c r="AA10" s="21">
        <f>AA7*Assumptions!$B$10</f>
        <v/>
      </c>
    </row>
    <row r="12">
      <c r="A12" s="10" t="inlineStr">
        <is>
          <t>Electrolysis power</t>
        </is>
      </c>
      <c r="B12" s="6" t="inlineStr">
        <is>
          <t>MWh/yr</t>
        </is>
      </c>
      <c r="C12" s="21">
        <f>C7*Assumptions!$B$11</f>
        <v/>
      </c>
      <c r="D12" s="21">
        <f>D7*Assumptions!$B$11</f>
        <v/>
      </c>
      <c r="E12" s="21">
        <f>E7*Assumptions!$B$11</f>
        <v/>
      </c>
      <c r="F12" s="21">
        <f>F7*Assumptions!$B$11</f>
        <v/>
      </c>
      <c r="G12" s="21">
        <f>G7*Assumptions!$B$11</f>
        <v/>
      </c>
      <c r="H12" s="21">
        <f>H7*Assumptions!$B$11</f>
        <v/>
      </c>
      <c r="I12" s="21">
        <f>I7*Assumptions!$B$11</f>
        <v/>
      </c>
      <c r="J12" s="21">
        <f>J7*Assumptions!$B$11</f>
        <v/>
      </c>
      <c r="K12" s="21">
        <f>K7*Assumptions!$B$11</f>
        <v/>
      </c>
      <c r="L12" s="21">
        <f>L7*Assumptions!$B$11</f>
        <v/>
      </c>
      <c r="M12" s="21">
        <f>M7*Assumptions!$B$11</f>
        <v/>
      </c>
      <c r="N12" s="21">
        <f>N7*Assumptions!$B$11</f>
        <v/>
      </c>
      <c r="O12" s="21">
        <f>O7*Assumptions!$B$11</f>
        <v/>
      </c>
      <c r="P12" s="21">
        <f>P7*Assumptions!$B$11</f>
        <v/>
      </c>
      <c r="Q12" s="21">
        <f>Q7*Assumptions!$B$11</f>
        <v/>
      </c>
      <c r="R12" s="21">
        <f>R7*Assumptions!$B$11</f>
        <v/>
      </c>
      <c r="S12" s="21">
        <f>S7*Assumptions!$B$11</f>
        <v/>
      </c>
      <c r="T12" s="21">
        <f>T7*Assumptions!$B$11</f>
        <v/>
      </c>
      <c r="U12" s="21">
        <f>U7*Assumptions!$B$11</f>
        <v/>
      </c>
      <c r="V12" s="21">
        <f>V7*Assumptions!$B$11</f>
        <v/>
      </c>
      <c r="W12" s="21">
        <f>W7*Assumptions!$B$11</f>
        <v/>
      </c>
      <c r="X12" s="21">
        <f>X7*Assumptions!$B$11</f>
        <v/>
      </c>
      <c r="Y12" s="21">
        <f>Y7*Assumptions!$B$11</f>
        <v/>
      </c>
      <c r="Z12" s="21">
        <f>Z7*Assumptions!$B$11</f>
        <v/>
      </c>
      <c r="AA12" s="21">
        <f>AA7*Assumptions!$B$11</f>
        <v/>
      </c>
    </row>
    <row r="13">
      <c r="A13" s="10" t="inlineStr">
        <is>
          <t>Capture parasitic power</t>
        </is>
      </c>
      <c r="B13" s="6" t="inlineStr">
        <is>
          <t>MWh/yr</t>
        </is>
      </c>
      <c r="C13" s="21">
        <f>C6*Assumptions!$B$12</f>
        <v/>
      </c>
      <c r="D13" s="21">
        <f>D6*Assumptions!$B$12</f>
        <v/>
      </c>
      <c r="E13" s="21">
        <f>E6*Assumptions!$B$12</f>
        <v/>
      </c>
      <c r="F13" s="21">
        <f>F6*Assumptions!$B$12</f>
        <v/>
      </c>
      <c r="G13" s="21">
        <f>G6*Assumptions!$B$12</f>
        <v/>
      </c>
      <c r="H13" s="21">
        <f>H6*Assumptions!$B$12</f>
        <v/>
      </c>
      <c r="I13" s="21">
        <f>I6*Assumptions!$B$12</f>
        <v/>
      </c>
      <c r="J13" s="21">
        <f>J6*Assumptions!$B$12</f>
        <v/>
      </c>
      <c r="K13" s="21">
        <f>K6*Assumptions!$B$12</f>
        <v/>
      </c>
      <c r="L13" s="21">
        <f>L6*Assumptions!$B$12</f>
        <v/>
      </c>
      <c r="M13" s="21">
        <f>M6*Assumptions!$B$12</f>
        <v/>
      </c>
      <c r="N13" s="21">
        <f>N6*Assumptions!$B$12</f>
        <v/>
      </c>
      <c r="O13" s="21">
        <f>O6*Assumptions!$B$12</f>
        <v/>
      </c>
      <c r="P13" s="21">
        <f>P6*Assumptions!$B$12</f>
        <v/>
      </c>
      <c r="Q13" s="21">
        <f>Q6*Assumptions!$B$12</f>
        <v/>
      </c>
      <c r="R13" s="21">
        <f>R6*Assumptions!$B$12</f>
        <v/>
      </c>
      <c r="S13" s="21">
        <f>S6*Assumptions!$B$12</f>
        <v/>
      </c>
      <c r="T13" s="21">
        <f>T6*Assumptions!$B$12</f>
        <v/>
      </c>
      <c r="U13" s="21">
        <f>U6*Assumptions!$B$12</f>
        <v/>
      </c>
      <c r="V13" s="21">
        <f>V6*Assumptions!$B$12</f>
        <v/>
      </c>
      <c r="W13" s="21">
        <f>W6*Assumptions!$B$12</f>
        <v/>
      </c>
      <c r="X13" s="21">
        <f>X6*Assumptions!$B$12</f>
        <v/>
      </c>
      <c r="Y13" s="21">
        <f>Y6*Assumptions!$B$12</f>
        <v/>
      </c>
      <c r="Z13" s="21">
        <f>Z6*Assumptions!$B$12</f>
        <v/>
      </c>
      <c r="AA13" s="21">
        <f>AA6*Assumptions!$B$12</f>
        <v/>
      </c>
    </row>
    <row r="14">
      <c r="A14" s="3" t="inlineStr">
        <is>
          <t>Total power</t>
        </is>
      </c>
      <c r="B14" s="6" t="inlineStr">
        <is>
          <t>MWh/yr</t>
        </is>
      </c>
      <c r="C14" s="34">
        <f>C12+C13</f>
        <v/>
      </c>
      <c r="D14" s="34">
        <f>D12+D13</f>
        <v/>
      </c>
      <c r="E14" s="34">
        <f>E12+E13</f>
        <v/>
      </c>
      <c r="F14" s="34">
        <f>F12+F13</f>
        <v/>
      </c>
      <c r="G14" s="34">
        <f>G12+G13</f>
        <v/>
      </c>
      <c r="H14" s="34">
        <f>H12+H13</f>
        <v/>
      </c>
      <c r="I14" s="34">
        <f>I12+I13</f>
        <v/>
      </c>
      <c r="J14" s="34">
        <f>J12+J13</f>
        <v/>
      </c>
      <c r="K14" s="34">
        <f>K12+K13</f>
        <v/>
      </c>
      <c r="L14" s="34">
        <f>L12+L13</f>
        <v/>
      </c>
      <c r="M14" s="34">
        <f>M12+M13</f>
        <v/>
      </c>
      <c r="N14" s="34">
        <f>N12+N13</f>
        <v/>
      </c>
      <c r="O14" s="34">
        <f>O12+O13</f>
        <v/>
      </c>
      <c r="P14" s="34">
        <f>P12+P13</f>
        <v/>
      </c>
      <c r="Q14" s="34">
        <f>Q12+Q13</f>
        <v/>
      </c>
      <c r="R14" s="34">
        <f>R12+R13</f>
        <v/>
      </c>
      <c r="S14" s="34">
        <f>S12+S13</f>
        <v/>
      </c>
      <c r="T14" s="34">
        <f>T12+T13</f>
        <v/>
      </c>
      <c r="U14" s="34">
        <f>U12+U13</f>
        <v/>
      </c>
      <c r="V14" s="34">
        <f>V12+V13</f>
        <v/>
      </c>
      <c r="W14" s="34">
        <f>W12+W13</f>
        <v/>
      </c>
      <c r="X14" s="34">
        <f>X12+X13</f>
        <v/>
      </c>
      <c r="Y14" s="34">
        <f>Y12+Y13</f>
        <v/>
      </c>
      <c r="Z14" s="34">
        <f>Z12+Z13</f>
        <v/>
      </c>
      <c r="AA14" s="34">
        <f>AA12+AA13</f>
        <v/>
      </c>
    </row>
    <row r="15">
      <c r="A15" s="10" t="inlineStr">
        <is>
          <t>Continuous electrical load</t>
        </is>
      </c>
      <c r="B15" s="6" t="inlineStr">
        <is>
          <t>MW</t>
        </is>
      </c>
      <c r="C15" s="33">
        <f>C14/8760</f>
        <v/>
      </c>
      <c r="D15" s="33">
        <f>D14/8760</f>
        <v/>
      </c>
      <c r="E15" s="33">
        <f>E14/8760</f>
        <v/>
      </c>
      <c r="F15" s="33">
        <f>F14/8760</f>
        <v/>
      </c>
      <c r="G15" s="33">
        <f>G14/8760</f>
        <v/>
      </c>
      <c r="H15" s="33">
        <f>H14/8760</f>
        <v/>
      </c>
      <c r="I15" s="33">
        <f>I14/8760</f>
        <v/>
      </c>
      <c r="J15" s="33">
        <f>J14/8760</f>
        <v/>
      </c>
      <c r="K15" s="33">
        <f>K14/8760</f>
        <v/>
      </c>
      <c r="L15" s="33">
        <f>L14/8760</f>
        <v/>
      </c>
      <c r="M15" s="33">
        <f>M14/8760</f>
        <v/>
      </c>
      <c r="N15" s="33">
        <f>N14/8760</f>
        <v/>
      </c>
      <c r="O15" s="33">
        <f>O14/8760</f>
        <v/>
      </c>
      <c r="P15" s="33">
        <f>P14/8760</f>
        <v/>
      </c>
      <c r="Q15" s="33">
        <f>Q14/8760</f>
        <v/>
      </c>
      <c r="R15" s="33">
        <f>R14/8760</f>
        <v/>
      </c>
      <c r="S15" s="33">
        <f>S14/8760</f>
        <v/>
      </c>
      <c r="T15" s="33">
        <f>T14/8760</f>
        <v/>
      </c>
      <c r="U15" s="33">
        <f>U14/8760</f>
        <v/>
      </c>
      <c r="V15" s="33">
        <f>V14/8760</f>
        <v/>
      </c>
      <c r="W15" s="33">
        <f>W14/8760</f>
        <v/>
      </c>
      <c r="X15" s="33">
        <f>X14/8760</f>
        <v/>
      </c>
      <c r="Y15" s="33">
        <f>Y14/8760</f>
        <v/>
      </c>
      <c r="Z15" s="33">
        <f>Z14/8760</f>
        <v/>
      </c>
      <c r="AA15" s="33">
        <f>AA14/8760</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A15"/>
  <sheetViews>
    <sheetView showGridLines="0" workbookViewId="0">
      <selection activeCell="A1" sqref="A1"/>
    </sheetView>
  </sheetViews>
  <sheetFormatPr baseColWidth="8" defaultRowHeight="15"/>
  <cols>
    <col width="42" customWidth="1" min="1" max="1"/>
    <col width="12"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s>
  <sheetData>
    <row r="1">
      <c r="A1" s="1" t="inlineStr">
        <is>
          <t>Capacity built and capital spend</t>
        </is>
      </c>
    </row>
    <row r="2">
      <c r="A2" s="6" t="inlineStr">
        <is>
          <t>Capacity follows signed offtake. The CO₂ blocks are built once in the first two years; conversion capacity is added only as tonnage is contracted.</t>
        </is>
      </c>
    </row>
    <row r="4">
      <c r="A4" s="9" t="n"/>
      <c r="B4" s="29" t="inlineStr">
        <is>
          <t>Unit</t>
        </is>
      </c>
      <c r="C4" s="30" t="inlineStr">
        <is>
          <t>Y1</t>
        </is>
      </c>
      <c r="D4" s="30" t="inlineStr">
        <is>
          <t>Y2</t>
        </is>
      </c>
      <c r="E4" s="30" t="inlineStr">
        <is>
          <t>Y3</t>
        </is>
      </c>
      <c r="F4" s="30" t="inlineStr">
        <is>
          <t>Y4</t>
        </is>
      </c>
      <c r="G4" s="30" t="inlineStr">
        <is>
          <t>Y5</t>
        </is>
      </c>
      <c r="H4" s="30" t="inlineStr">
        <is>
          <t>Y6</t>
        </is>
      </c>
      <c r="I4" s="30" t="inlineStr">
        <is>
          <t>Y7</t>
        </is>
      </c>
      <c r="J4" s="30" t="inlineStr">
        <is>
          <t>Y8</t>
        </is>
      </c>
      <c r="K4" s="30" t="inlineStr">
        <is>
          <t>Y9</t>
        </is>
      </c>
      <c r="L4" s="30" t="inlineStr">
        <is>
          <t>Y10</t>
        </is>
      </c>
      <c r="M4" s="30" t="inlineStr">
        <is>
          <t>Y11</t>
        </is>
      </c>
      <c r="N4" s="30" t="inlineStr">
        <is>
          <t>Y12</t>
        </is>
      </c>
      <c r="O4" s="30" t="inlineStr">
        <is>
          <t>Y13</t>
        </is>
      </c>
      <c r="P4" s="30" t="inlineStr">
        <is>
          <t>Y14</t>
        </is>
      </c>
      <c r="Q4" s="30" t="inlineStr">
        <is>
          <t>Y15</t>
        </is>
      </c>
      <c r="R4" s="30" t="inlineStr">
        <is>
          <t>Y16</t>
        </is>
      </c>
      <c r="S4" s="30" t="inlineStr">
        <is>
          <t>Y17</t>
        </is>
      </c>
      <c r="T4" s="30" t="inlineStr">
        <is>
          <t>Y18</t>
        </is>
      </c>
      <c r="U4" s="30" t="inlineStr">
        <is>
          <t>Y19</t>
        </is>
      </c>
      <c r="V4" s="30" t="inlineStr">
        <is>
          <t>Y20</t>
        </is>
      </c>
      <c r="W4" s="30" t="inlineStr">
        <is>
          <t>Y21</t>
        </is>
      </c>
      <c r="X4" s="30" t="inlineStr">
        <is>
          <t>Y22</t>
        </is>
      </c>
      <c r="Y4" s="30" t="inlineStr">
        <is>
          <t>Y23</t>
        </is>
      </c>
      <c r="Z4" s="30" t="inlineStr">
        <is>
          <t>Y24</t>
        </is>
      </c>
      <c r="AA4" s="30" t="inlineStr">
        <is>
          <t>Y25</t>
        </is>
      </c>
    </row>
    <row r="6">
      <c r="A6" s="10" t="inlineStr">
        <is>
          <t>Capacity required (tonnage sold)</t>
        </is>
      </c>
      <c r="B6" s="6" t="inlineStr">
        <is>
          <t>t/yr</t>
        </is>
      </c>
      <c r="C6" s="21">
        <f>'Revenue Ramp'!C6</f>
        <v/>
      </c>
      <c r="D6" s="21">
        <f>'Revenue Ramp'!D6</f>
        <v/>
      </c>
      <c r="E6" s="21">
        <f>'Revenue Ramp'!E6</f>
        <v/>
      </c>
      <c r="F6" s="21">
        <f>'Revenue Ramp'!F6</f>
        <v/>
      </c>
      <c r="G6" s="21">
        <f>'Revenue Ramp'!G6</f>
        <v/>
      </c>
      <c r="H6" s="21">
        <f>'Revenue Ramp'!H6</f>
        <v/>
      </c>
      <c r="I6" s="21">
        <f>'Revenue Ramp'!I6</f>
        <v/>
      </c>
      <c r="J6" s="21">
        <f>'Revenue Ramp'!J6</f>
        <v/>
      </c>
      <c r="K6" s="21">
        <f>'Revenue Ramp'!K6</f>
        <v/>
      </c>
      <c r="L6" s="21">
        <f>'Revenue Ramp'!L6</f>
        <v/>
      </c>
      <c r="M6" s="21">
        <f>'Revenue Ramp'!M6</f>
        <v/>
      </c>
      <c r="N6" s="21">
        <f>'Revenue Ramp'!N6</f>
        <v/>
      </c>
      <c r="O6" s="21">
        <f>'Revenue Ramp'!O6</f>
        <v/>
      </c>
      <c r="P6" s="21">
        <f>'Revenue Ramp'!P6</f>
        <v/>
      </c>
      <c r="Q6" s="21">
        <f>'Revenue Ramp'!Q6</f>
        <v/>
      </c>
      <c r="R6" s="21">
        <f>'Revenue Ramp'!R6</f>
        <v/>
      </c>
      <c r="S6" s="21">
        <f>'Revenue Ramp'!S6</f>
        <v/>
      </c>
      <c r="T6" s="21">
        <f>'Revenue Ramp'!T6</f>
        <v/>
      </c>
      <c r="U6" s="21">
        <f>'Revenue Ramp'!U6</f>
        <v/>
      </c>
      <c r="V6" s="21">
        <f>'Revenue Ramp'!V6</f>
        <v/>
      </c>
      <c r="W6" s="21">
        <f>'Revenue Ramp'!W6</f>
        <v/>
      </c>
      <c r="X6" s="21">
        <f>'Revenue Ramp'!X6</f>
        <v/>
      </c>
      <c r="Y6" s="21">
        <f>'Revenue Ramp'!Y6</f>
        <v/>
      </c>
      <c r="Z6" s="21">
        <f>'Revenue Ramp'!Z6</f>
        <v/>
      </c>
      <c r="AA6" s="21">
        <f>'Revenue Ramp'!AA6</f>
        <v/>
      </c>
    </row>
    <row r="7">
      <c r="A7" s="3" t="inlineStr">
        <is>
          <t>Capacity built (ratchet, never falls)</t>
        </is>
      </c>
      <c r="B7" s="6" t="inlineStr">
        <is>
          <t>t/yr</t>
        </is>
      </c>
      <c r="C7" s="34">
        <f>C6</f>
        <v/>
      </c>
      <c r="D7" s="34">
        <f>MAX(C7,D6)</f>
        <v/>
      </c>
      <c r="E7" s="34">
        <f>MAX(D7,E6)</f>
        <v/>
      </c>
      <c r="F7" s="34">
        <f>MAX(E7,F6)</f>
        <v/>
      </c>
      <c r="G7" s="34">
        <f>MAX(F7,G6)</f>
        <v/>
      </c>
      <c r="H7" s="34">
        <f>MAX(G7,H6)</f>
        <v/>
      </c>
      <c r="I7" s="34">
        <f>MAX(H7,I6)</f>
        <v/>
      </c>
      <c r="J7" s="34">
        <f>MAX(I7,J6)</f>
        <v/>
      </c>
      <c r="K7" s="34">
        <f>MAX(J7,K6)</f>
        <v/>
      </c>
      <c r="L7" s="34">
        <f>MAX(K7,L6)</f>
        <v/>
      </c>
      <c r="M7" s="34">
        <f>MAX(L7,M6)</f>
        <v/>
      </c>
      <c r="N7" s="34">
        <f>MAX(M7,N6)</f>
        <v/>
      </c>
      <c r="O7" s="34">
        <f>MAX(N7,O6)</f>
        <v/>
      </c>
      <c r="P7" s="34">
        <f>MAX(O7,P6)</f>
        <v/>
      </c>
      <c r="Q7" s="34">
        <f>MAX(P7,Q6)</f>
        <v/>
      </c>
      <c r="R7" s="34">
        <f>MAX(Q7,R6)</f>
        <v/>
      </c>
      <c r="S7" s="34">
        <f>MAX(R7,S6)</f>
        <v/>
      </c>
      <c r="T7" s="34">
        <f>MAX(S7,T6)</f>
        <v/>
      </c>
      <c r="U7" s="34">
        <f>MAX(T7,U6)</f>
        <v/>
      </c>
      <c r="V7" s="34">
        <f>MAX(U7,V6)</f>
        <v/>
      </c>
      <c r="W7" s="34">
        <f>MAX(V7,W6)</f>
        <v/>
      </c>
      <c r="X7" s="34">
        <f>MAX(W7,X6)</f>
        <v/>
      </c>
      <c r="Y7" s="34">
        <f>MAX(X7,Y6)</f>
        <v/>
      </c>
      <c r="Z7" s="34">
        <f>MAX(Y7,Z6)</f>
        <v/>
      </c>
      <c r="AA7" s="34">
        <f>MAX(Z7,AA6)</f>
        <v/>
      </c>
    </row>
    <row r="8">
      <c r="A8" s="10" t="inlineStr">
        <is>
          <t>Capacity added this year</t>
        </is>
      </c>
      <c r="B8" s="6" t="inlineStr">
        <is>
          <t>t/yr</t>
        </is>
      </c>
      <c r="C8" s="21">
        <f>C7</f>
        <v/>
      </c>
      <c r="D8" s="21">
        <f>D7-C7</f>
        <v/>
      </c>
      <c r="E8" s="21">
        <f>E7-D7</f>
        <v/>
      </c>
      <c r="F8" s="21">
        <f>F7-E7</f>
        <v/>
      </c>
      <c r="G8" s="21">
        <f>G7-F7</f>
        <v/>
      </c>
      <c r="H8" s="21">
        <f>H7-G7</f>
        <v/>
      </c>
      <c r="I8" s="21">
        <f>I7-H7</f>
        <v/>
      </c>
      <c r="J8" s="21">
        <f>J7-I7</f>
        <v/>
      </c>
      <c r="K8" s="21">
        <f>K7-J7</f>
        <v/>
      </c>
      <c r="L8" s="21">
        <f>L7-K7</f>
        <v/>
      </c>
      <c r="M8" s="21">
        <f>M7-L7</f>
        <v/>
      </c>
      <c r="N8" s="21">
        <f>N7-M7</f>
        <v/>
      </c>
      <c r="O8" s="21">
        <f>O7-N7</f>
        <v/>
      </c>
      <c r="P8" s="21">
        <f>P7-O7</f>
        <v/>
      </c>
      <c r="Q8" s="21">
        <f>Q7-P7</f>
        <v/>
      </c>
      <c r="R8" s="21">
        <f>R7-Q7</f>
        <v/>
      </c>
      <c r="S8" s="21">
        <f>S7-R7</f>
        <v/>
      </c>
      <c r="T8" s="21">
        <f>T7-S7</f>
        <v/>
      </c>
      <c r="U8" s="21">
        <f>U7-T7</f>
        <v/>
      </c>
      <c r="V8" s="21">
        <f>V7-U7</f>
        <v/>
      </c>
      <c r="W8" s="21">
        <f>W7-V7</f>
        <v/>
      </c>
      <c r="X8" s="21">
        <f>X7-W7</f>
        <v/>
      </c>
      <c r="Y8" s="21">
        <f>Y7-X7</f>
        <v/>
      </c>
      <c r="Z8" s="21">
        <f>Z7-Y7</f>
        <v/>
      </c>
      <c r="AA8" s="21">
        <f>AA7-Z7</f>
        <v/>
      </c>
    </row>
    <row r="10">
      <c r="A10" s="3" t="inlineStr">
        <is>
          <t>Capital spend</t>
        </is>
      </c>
    </row>
    <row r="11">
      <c r="A11" s="10" t="inlineStr">
        <is>
          <t>CO₂ blocks (capture, injection, substation, admin, O₂)</t>
        </is>
      </c>
      <c r="B11" s="6" t="inlineStr">
        <is>
          <t>$</t>
        </is>
      </c>
      <c r="C11" s="22">
        <f>(Assumptions!$B$47+Assumptions!$B$48+Assumptions!$B$49+Assumptions!$B$50+Assumptions!$B$51)*0.6</f>
        <v/>
      </c>
      <c r="D11" s="22">
        <f>(Assumptions!$B$47+Assumptions!$B$48+Assumptions!$B$49+Assumptions!$B$50+Assumptions!$B$51)*0.4</f>
        <v/>
      </c>
      <c r="E11" s="22" t="n">
        <v>0</v>
      </c>
      <c r="F11" s="22" t="n">
        <v>0</v>
      </c>
      <c r="G11" s="22" t="n">
        <v>0</v>
      </c>
      <c r="H11" s="22" t="n">
        <v>0</v>
      </c>
      <c r="I11" s="22" t="n">
        <v>0</v>
      </c>
      <c r="J11" s="22" t="n">
        <v>0</v>
      </c>
      <c r="K11" s="22" t="n">
        <v>0</v>
      </c>
      <c r="L11" s="22" t="n">
        <v>0</v>
      </c>
      <c r="M11" s="22" t="n">
        <v>0</v>
      </c>
      <c r="N11" s="22" t="n">
        <v>0</v>
      </c>
      <c r="O11" s="22" t="n">
        <v>0</v>
      </c>
      <c r="P11" s="22" t="n">
        <v>0</v>
      </c>
      <c r="Q11" s="22" t="n">
        <v>0</v>
      </c>
      <c r="R11" s="22" t="n">
        <v>0</v>
      </c>
      <c r="S11" s="22" t="n">
        <v>0</v>
      </c>
      <c r="T11" s="22" t="n">
        <v>0</v>
      </c>
      <c r="U11" s="22" t="n">
        <v>0</v>
      </c>
      <c r="V11" s="22" t="n">
        <v>0</v>
      </c>
      <c r="W11" s="22" t="n">
        <v>0</v>
      </c>
      <c r="X11" s="22" t="n">
        <v>0</v>
      </c>
      <c r="Y11" s="22" t="n">
        <v>0</v>
      </c>
      <c r="Z11" s="22" t="n">
        <v>0</v>
      </c>
      <c r="AA11" s="22" t="n">
        <v>0</v>
      </c>
    </row>
    <row r="12">
      <c r="A12" s="10" t="inlineStr">
        <is>
          <t>Conversion capacity (kilns, purification, rail)</t>
        </is>
      </c>
      <c r="B12" s="6" t="inlineStr">
        <is>
          <t>$</t>
        </is>
      </c>
      <c r="C12" s="22">
        <f>C8*(Assumptions!$B$52+Assumptions!$B$53+Assumptions!$B$54)</f>
        <v/>
      </c>
      <c r="D12" s="22">
        <f>D8*(Assumptions!$B$52+Assumptions!$B$53+Assumptions!$B$54)</f>
        <v/>
      </c>
      <c r="E12" s="22">
        <f>E8*(Assumptions!$B$52+Assumptions!$B$53+Assumptions!$B$54)</f>
        <v/>
      </c>
      <c r="F12" s="22">
        <f>F8*(Assumptions!$B$52+Assumptions!$B$53+Assumptions!$B$54)</f>
        <v/>
      </c>
      <c r="G12" s="22">
        <f>G8*(Assumptions!$B$52+Assumptions!$B$53+Assumptions!$B$54)</f>
        <v/>
      </c>
      <c r="H12" s="22">
        <f>H8*(Assumptions!$B$52+Assumptions!$B$53+Assumptions!$B$54)</f>
        <v/>
      </c>
      <c r="I12" s="22">
        <f>I8*(Assumptions!$B$52+Assumptions!$B$53+Assumptions!$B$54)</f>
        <v/>
      </c>
      <c r="J12" s="22">
        <f>J8*(Assumptions!$B$52+Assumptions!$B$53+Assumptions!$B$54)</f>
        <v/>
      </c>
      <c r="K12" s="22">
        <f>K8*(Assumptions!$B$52+Assumptions!$B$53+Assumptions!$B$54)</f>
        <v/>
      </c>
      <c r="L12" s="22">
        <f>L8*(Assumptions!$B$52+Assumptions!$B$53+Assumptions!$B$54)</f>
        <v/>
      </c>
      <c r="M12" s="22">
        <f>M8*(Assumptions!$B$52+Assumptions!$B$53+Assumptions!$B$54)</f>
        <v/>
      </c>
      <c r="N12" s="22">
        <f>N8*(Assumptions!$B$52+Assumptions!$B$53+Assumptions!$B$54)</f>
        <v/>
      </c>
      <c r="O12" s="22">
        <f>O8*(Assumptions!$B$52+Assumptions!$B$53+Assumptions!$B$54)</f>
        <v/>
      </c>
      <c r="P12" s="22">
        <f>P8*(Assumptions!$B$52+Assumptions!$B$53+Assumptions!$B$54)</f>
        <v/>
      </c>
      <c r="Q12" s="22">
        <f>Q8*(Assumptions!$B$52+Assumptions!$B$53+Assumptions!$B$54)</f>
        <v/>
      </c>
      <c r="R12" s="22">
        <f>R8*(Assumptions!$B$52+Assumptions!$B$53+Assumptions!$B$54)</f>
        <v/>
      </c>
      <c r="S12" s="22">
        <f>S8*(Assumptions!$B$52+Assumptions!$B$53+Assumptions!$B$54)</f>
        <v/>
      </c>
      <c r="T12" s="22">
        <f>T8*(Assumptions!$B$52+Assumptions!$B$53+Assumptions!$B$54)</f>
        <v/>
      </c>
      <c r="U12" s="22">
        <f>U8*(Assumptions!$B$52+Assumptions!$B$53+Assumptions!$B$54)</f>
        <v/>
      </c>
      <c r="V12" s="22">
        <f>V8*(Assumptions!$B$52+Assumptions!$B$53+Assumptions!$B$54)</f>
        <v/>
      </c>
      <c r="W12" s="22">
        <f>W8*(Assumptions!$B$52+Assumptions!$B$53+Assumptions!$B$54)</f>
        <v/>
      </c>
      <c r="X12" s="22">
        <f>X8*(Assumptions!$B$52+Assumptions!$B$53+Assumptions!$B$54)</f>
        <v/>
      </c>
      <c r="Y12" s="22">
        <f>Y8*(Assumptions!$B$52+Assumptions!$B$53+Assumptions!$B$54)</f>
        <v/>
      </c>
      <c r="Z12" s="22">
        <f>Z8*(Assumptions!$B$52+Assumptions!$B$53+Assumptions!$B$54)</f>
        <v/>
      </c>
      <c r="AA12" s="22">
        <f>AA8*(Assumptions!$B$52+Assumptions!$B$53+Assumptions!$B$54)</f>
        <v/>
      </c>
    </row>
    <row r="13">
      <c r="A13" s="10" t="inlineStr">
        <is>
          <t>Contingency</t>
        </is>
      </c>
      <c r="B13" s="6" t="inlineStr">
        <is>
          <t>$</t>
        </is>
      </c>
      <c r="C13" s="22">
        <f>(C11+C12)*Assumptions!$B$55</f>
        <v/>
      </c>
      <c r="D13" s="22">
        <f>(D11+D12)*Assumptions!$B$55</f>
        <v/>
      </c>
      <c r="E13" s="22">
        <f>(E11+E12)*Assumptions!$B$55</f>
        <v/>
      </c>
      <c r="F13" s="22">
        <f>(F11+F12)*Assumptions!$B$55</f>
        <v/>
      </c>
      <c r="G13" s="22">
        <f>(G11+G12)*Assumptions!$B$55</f>
        <v/>
      </c>
      <c r="H13" s="22">
        <f>(H11+H12)*Assumptions!$B$55</f>
        <v/>
      </c>
      <c r="I13" s="22">
        <f>(I11+I12)*Assumptions!$B$55</f>
        <v/>
      </c>
      <c r="J13" s="22">
        <f>(J11+J12)*Assumptions!$B$55</f>
        <v/>
      </c>
      <c r="K13" s="22">
        <f>(K11+K12)*Assumptions!$B$55</f>
        <v/>
      </c>
      <c r="L13" s="22">
        <f>(L11+L12)*Assumptions!$B$55</f>
        <v/>
      </c>
      <c r="M13" s="22">
        <f>(M11+M12)*Assumptions!$B$55</f>
        <v/>
      </c>
      <c r="N13" s="22">
        <f>(N11+N12)*Assumptions!$B$55</f>
        <v/>
      </c>
      <c r="O13" s="22">
        <f>(O11+O12)*Assumptions!$B$55</f>
        <v/>
      </c>
      <c r="P13" s="22">
        <f>(P11+P12)*Assumptions!$B$55</f>
        <v/>
      </c>
      <c r="Q13" s="22">
        <f>(Q11+Q12)*Assumptions!$B$55</f>
        <v/>
      </c>
      <c r="R13" s="22">
        <f>(R11+R12)*Assumptions!$B$55</f>
        <v/>
      </c>
      <c r="S13" s="22">
        <f>(S11+S12)*Assumptions!$B$55</f>
        <v/>
      </c>
      <c r="T13" s="22">
        <f>(T11+T12)*Assumptions!$B$55</f>
        <v/>
      </c>
      <c r="U13" s="22">
        <f>(U11+U12)*Assumptions!$B$55</f>
        <v/>
      </c>
      <c r="V13" s="22">
        <f>(V11+V12)*Assumptions!$B$55</f>
        <v/>
      </c>
      <c r="W13" s="22">
        <f>(W11+W12)*Assumptions!$B$55</f>
        <v/>
      </c>
      <c r="X13" s="22">
        <f>(X11+X12)*Assumptions!$B$55</f>
        <v/>
      </c>
      <c r="Y13" s="22">
        <f>(Y11+Y12)*Assumptions!$B$55</f>
        <v/>
      </c>
      <c r="Z13" s="22">
        <f>(Z11+Z12)*Assumptions!$B$55</f>
        <v/>
      </c>
      <c r="AA13" s="22">
        <f>(AA11+AA12)*Assumptions!$B$55</f>
        <v/>
      </c>
    </row>
    <row r="14">
      <c r="A14" s="3" t="inlineStr">
        <is>
          <t>Total capital spend</t>
        </is>
      </c>
      <c r="B14" s="6" t="inlineStr">
        <is>
          <t>$</t>
        </is>
      </c>
      <c r="C14" s="25">
        <f>C11+C12+C13</f>
        <v/>
      </c>
      <c r="D14" s="25">
        <f>D11+D12+D13</f>
        <v/>
      </c>
      <c r="E14" s="25">
        <f>E11+E12+E13</f>
        <v/>
      </c>
      <c r="F14" s="25">
        <f>F11+F12+F13</f>
        <v/>
      </c>
      <c r="G14" s="25">
        <f>G11+G12+G13</f>
        <v/>
      </c>
      <c r="H14" s="25">
        <f>H11+H12+H13</f>
        <v/>
      </c>
      <c r="I14" s="25">
        <f>I11+I12+I13</f>
        <v/>
      </c>
      <c r="J14" s="25">
        <f>J11+J12+J13</f>
        <v/>
      </c>
      <c r="K14" s="25">
        <f>K11+K12+K13</f>
        <v/>
      </c>
      <c r="L14" s="25">
        <f>L11+L12+L13</f>
        <v/>
      </c>
      <c r="M14" s="25">
        <f>M11+M12+M13</f>
        <v/>
      </c>
      <c r="N14" s="25">
        <f>N11+N12+N13</f>
        <v/>
      </c>
      <c r="O14" s="25">
        <f>O11+O12+O13</f>
        <v/>
      </c>
      <c r="P14" s="25">
        <f>P11+P12+P13</f>
        <v/>
      </c>
      <c r="Q14" s="25">
        <f>Q11+Q12+Q13</f>
        <v/>
      </c>
      <c r="R14" s="25">
        <f>R11+R12+R13</f>
        <v/>
      </c>
      <c r="S14" s="25">
        <f>S11+S12+S13</f>
        <v/>
      </c>
      <c r="T14" s="25">
        <f>T11+T12+T13</f>
        <v/>
      </c>
      <c r="U14" s="25">
        <f>U11+U12+U13</f>
        <v/>
      </c>
      <c r="V14" s="25">
        <f>V11+V12+V13</f>
        <v/>
      </c>
      <c r="W14" s="25">
        <f>W11+W12+W13</f>
        <v/>
      </c>
      <c r="X14" s="25">
        <f>X11+X12+X13</f>
        <v/>
      </c>
      <c r="Y14" s="25">
        <f>Y11+Y12+Y13</f>
        <v/>
      </c>
      <c r="Z14" s="25">
        <f>Z11+Z12+Z13</f>
        <v/>
      </c>
      <c r="AA14" s="25">
        <f>AA11+AA12+AA13</f>
        <v/>
      </c>
    </row>
    <row r="15">
      <c r="A15" s="10" t="inlineStr">
        <is>
          <t>Cumulative capital</t>
        </is>
      </c>
      <c r="B15" s="6" t="inlineStr">
        <is>
          <t>$</t>
        </is>
      </c>
      <c r="C15" s="22">
        <f>C14</f>
        <v/>
      </c>
      <c r="D15" s="22">
        <f>C15+D14</f>
        <v/>
      </c>
      <c r="E15" s="22">
        <f>D15+E14</f>
        <v/>
      </c>
      <c r="F15" s="22">
        <f>E15+F14</f>
        <v/>
      </c>
      <c r="G15" s="22">
        <f>F15+G14</f>
        <v/>
      </c>
      <c r="H15" s="22">
        <f>G15+H14</f>
        <v/>
      </c>
      <c r="I15" s="22">
        <f>H15+I14</f>
        <v/>
      </c>
      <c r="J15" s="22">
        <f>I15+J14</f>
        <v/>
      </c>
      <c r="K15" s="22">
        <f>J15+K14</f>
        <v/>
      </c>
      <c r="L15" s="22">
        <f>K15+L14</f>
        <v/>
      </c>
      <c r="M15" s="22">
        <f>L15+M14</f>
        <v/>
      </c>
      <c r="N15" s="22">
        <f>M15+N14</f>
        <v/>
      </c>
      <c r="O15" s="22">
        <f>N15+O14</f>
        <v/>
      </c>
      <c r="P15" s="22">
        <f>O15+P14</f>
        <v/>
      </c>
      <c r="Q15" s="22">
        <f>P15+Q14</f>
        <v/>
      </c>
      <c r="R15" s="22">
        <f>Q15+R14</f>
        <v/>
      </c>
      <c r="S15" s="22">
        <f>R15+S14</f>
        <v/>
      </c>
      <c r="T15" s="22">
        <f>S15+T14</f>
        <v/>
      </c>
      <c r="U15" s="22">
        <f>T15+U14</f>
        <v/>
      </c>
      <c r="V15" s="22">
        <f>U15+V14</f>
        <v/>
      </c>
      <c r="W15" s="22">
        <f>V15+W14</f>
        <v/>
      </c>
      <c r="X15" s="22">
        <f>W15+X14</f>
        <v/>
      </c>
      <c r="Y15" s="22">
        <f>X15+Y14</f>
        <v/>
      </c>
      <c r="Z15" s="22">
        <f>Y15+Z14</f>
        <v/>
      </c>
      <c r="AA15" s="22">
        <f>Z15+AA14</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A15"/>
  <sheetViews>
    <sheetView showGridLines="0" workbookViewId="0">
      <selection activeCell="A1" sqref="A1"/>
    </sheetView>
  </sheetViews>
  <sheetFormatPr baseColWidth="8" defaultRowHeight="15"/>
  <cols>
    <col width="42" customWidth="1" min="1" max="1"/>
    <col width="12"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s>
  <sheetData>
    <row r="1">
      <c r="A1" s="1" t="inlineStr">
        <is>
          <t>§45Q and coproduct</t>
        </is>
      </c>
    </row>
    <row r="2">
      <c r="A2" s="6" t="inlineStr">
        <is>
          <t>The utilization tier follows carbon into product; the sequestration tier follows the balance of the stream into the well. The credit period runs 12 years from the year each tier starts.</t>
        </is>
      </c>
    </row>
    <row r="4">
      <c r="A4" s="9" t="n"/>
      <c r="B4" s="29" t="inlineStr">
        <is>
          <t>Unit</t>
        </is>
      </c>
      <c r="C4" s="30" t="inlineStr">
        <is>
          <t>Y1</t>
        </is>
      </c>
      <c r="D4" s="30" t="inlineStr">
        <is>
          <t>Y2</t>
        </is>
      </c>
      <c r="E4" s="30" t="inlineStr">
        <is>
          <t>Y3</t>
        </is>
      </c>
      <c r="F4" s="30" t="inlineStr">
        <is>
          <t>Y4</t>
        </is>
      </c>
      <c r="G4" s="30" t="inlineStr">
        <is>
          <t>Y5</t>
        </is>
      </c>
      <c r="H4" s="30" t="inlineStr">
        <is>
          <t>Y6</t>
        </is>
      </c>
      <c r="I4" s="30" t="inlineStr">
        <is>
          <t>Y7</t>
        </is>
      </c>
      <c r="J4" s="30" t="inlineStr">
        <is>
          <t>Y8</t>
        </is>
      </c>
      <c r="K4" s="30" t="inlineStr">
        <is>
          <t>Y9</t>
        </is>
      </c>
      <c r="L4" s="30" t="inlineStr">
        <is>
          <t>Y10</t>
        </is>
      </c>
      <c r="M4" s="30" t="inlineStr">
        <is>
          <t>Y11</t>
        </is>
      </c>
      <c r="N4" s="30" t="inlineStr">
        <is>
          <t>Y12</t>
        </is>
      </c>
      <c r="O4" s="30" t="inlineStr">
        <is>
          <t>Y13</t>
        </is>
      </c>
      <c r="P4" s="30" t="inlineStr">
        <is>
          <t>Y14</t>
        </is>
      </c>
      <c r="Q4" s="30" t="inlineStr">
        <is>
          <t>Y15</t>
        </is>
      </c>
      <c r="R4" s="30" t="inlineStr">
        <is>
          <t>Y16</t>
        </is>
      </c>
      <c r="S4" s="30" t="inlineStr">
        <is>
          <t>Y17</t>
        </is>
      </c>
      <c r="T4" s="30" t="inlineStr">
        <is>
          <t>Y18</t>
        </is>
      </c>
      <c r="U4" s="30" t="inlineStr">
        <is>
          <t>Y19</t>
        </is>
      </c>
      <c r="V4" s="30" t="inlineStr">
        <is>
          <t>Y20</t>
        </is>
      </c>
      <c r="W4" s="30" t="inlineStr">
        <is>
          <t>Y21</t>
        </is>
      </c>
      <c r="X4" s="30" t="inlineStr">
        <is>
          <t>Y22</t>
        </is>
      </c>
      <c r="Y4" s="30" t="inlineStr">
        <is>
          <t>Y23</t>
        </is>
      </c>
      <c r="Z4" s="30" t="inlineStr">
        <is>
          <t>Y24</t>
        </is>
      </c>
      <c r="AA4" s="30" t="inlineStr">
        <is>
          <t>Y25</t>
        </is>
      </c>
    </row>
    <row r="6">
      <c r="A6" s="10" t="inlineStr">
        <is>
          <t>CO₂ utilized</t>
        </is>
      </c>
      <c r="B6" s="6" t="inlineStr">
        <is>
          <t>t/yr</t>
        </is>
      </c>
      <c r="C6" s="21">
        <f>'Mass Balance'!C8</f>
        <v/>
      </c>
      <c r="D6" s="21">
        <f>'Mass Balance'!D8</f>
        <v/>
      </c>
      <c r="E6" s="21">
        <f>'Mass Balance'!E8</f>
        <v/>
      </c>
      <c r="F6" s="21">
        <f>'Mass Balance'!F8</f>
        <v/>
      </c>
      <c r="G6" s="21">
        <f>'Mass Balance'!G8</f>
        <v/>
      </c>
      <c r="H6" s="21">
        <f>'Mass Balance'!H8</f>
        <v/>
      </c>
      <c r="I6" s="21">
        <f>'Mass Balance'!I8</f>
        <v/>
      </c>
      <c r="J6" s="21">
        <f>'Mass Balance'!J8</f>
        <v/>
      </c>
      <c r="K6" s="21">
        <f>'Mass Balance'!K8</f>
        <v/>
      </c>
      <c r="L6" s="21">
        <f>'Mass Balance'!L8</f>
        <v/>
      </c>
      <c r="M6" s="21">
        <f>'Mass Balance'!M8</f>
        <v/>
      </c>
      <c r="N6" s="21">
        <f>'Mass Balance'!N8</f>
        <v/>
      </c>
      <c r="O6" s="21">
        <f>'Mass Balance'!O8</f>
        <v/>
      </c>
      <c r="P6" s="21">
        <f>'Mass Balance'!P8</f>
        <v/>
      </c>
      <c r="Q6" s="21">
        <f>'Mass Balance'!Q8</f>
        <v/>
      </c>
      <c r="R6" s="21">
        <f>'Mass Balance'!R8</f>
        <v/>
      </c>
      <c r="S6" s="21">
        <f>'Mass Balance'!S8</f>
        <v/>
      </c>
      <c r="T6" s="21">
        <f>'Mass Balance'!T8</f>
        <v/>
      </c>
      <c r="U6" s="21">
        <f>'Mass Balance'!U8</f>
        <v/>
      </c>
      <c r="V6" s="21">
        <f>'Mass Balance'!V8</f>
        <v/>
      </c>
      <c r="W6" s="21">
        <f>'Mass Balance'!W8</f>
        <v/>
      </c>
      <c r="X6" s="21">
        <f>'Mass Balance'!X8</f>
        <v/>
      </c>
      <c r="Y6" s="21">
        <f>'Mass Balance'!Y8</f>
        <v/>
      </c>
      <c r="Z6" s="21">
        <f>'Mass Balance'!Z8</f>
        <v/>
      </c>
      <c r="AA6" s="21">
        <f>'Mass Balance'!AA8</f>
        <v/>
      </c>
    </row>
    <row r="7">
      <c r="A7" s="10" t="inlineStr">
        <is>
          <t>CO₂ sequestered</t>
        </is>
      </c>
      <c r="B7" s="6" t="inlineStr">
        <is>
          <t>t/yr</t>
        </is>
      </c>
      <c r="C7" s="21">
        <f>'Mass Balance'!C9</f>
        <v/>
      </c>
      <c r="D7" s="21">
        <f>'Mass Balance'!D9</f>
        <v/>
      </c>
      <c r="E7" s="21">
        <f>'Mass Balance'!E9</f>
        <v/>
      </c>
      <c r="F7" s="21">
        <f>'Mass Balance'!F9</f>
        <v/>
      </c>
      <c r="G7" s="21">
        <f>'Mass Balance'!G9</f>
        <v/>
      </c>
      <c r="H7" s="21">
        <f>'Mass Balance'!H9</f>
        <v/>
      </c>
      <c r="I7" s="21">
        <f>'Mass Balance'!I9</f>
        <v/>
      </c>
      <c r="J7" s="21">
        <f>'Mass Balance'!J9</f>
        <v/>
      </c>
      <c r="K7" s="21">
        <f>'Mass Balance'!K9</f>
        <v/>
      </c>
      <c r="L7" s="21">
        <f>'Mass Balance'!L9</f>
        <v/>
      </c>
      <c r="M7" s="21">
        <f>'Mass Balance'!M9</f>
        <v/>
      </c>
      <c r="N7" s="21">
        <f>'Mass Balance'!N9</f>
        <v/>
      </c>
      <c r="O7" s="21">
        <f>'Mass Balance'!O9</f>
        <v/>
      </c>
      <c r="P7" s="21">
        <f>'Mass Balance'!P9</f>
        <v/>
      </c>
      <c r="Q7" s="21">
        <f>'Mass Balance'!Q9</f>
        <v/>
      </c>
      <c r="R7" s="21">
        <f>'Mass Balance'!R9</f>
        <v/>
      </c>
      <c r="S7" s="21">
        <f>'Mass Balance'!S9</f>
        <v/>
      </c>
      <c r="T7" s="21">
        <f>'Mass Balance'!T9</f>
        <v/>
      </c>
      <c r="U7" s="21">
        <f>'Mass Balance'!U9</f>
        <v/>
      </c>
      <c r="V7" s="21">
        <f>'Mass Balance'!V9</f>
        <v/>
      </c>
      <c r="W7" s="21">
        <f>'Mass Balance'!W9</f>
        <v/>
      </c>
      <c r="X7" s="21">
        <f>'Mass Balance'!X9</f>
        <v/>
      </c>
      <c r="Y7" s="21">
        <f>'Mass Balance'!Y9</f>
        <v/>
      </c>
      <c r="Z7" s="21">
        <f>'Mass Balance'!Z9</f>
        <v/>
      </c>
      <c r="AA7" s="21">
        <f>'Mass Balance'!AA9</f>
        <v/>
      </c>
    </row>
    <row r="8">
      <c r="A8" s="10" t="inlineStr">
        <is>
          <t>Credit period active (1 = yes)</t>
        </is>
      </c>
      <c r="B8" s="6" t="inlineStr"/>
      <c r="C8" s="21">
        <f>IF(AND(1&gt;=2,1&lt;2+Assumptions!$B$18),1,0)</f>
        <v/>
      </c>
      <c r="D8" s="21">
        <f>IF(AND(2&gt;=2,2&lt;2+Assumptions!$B$18),1,0)</f>
        <v/>
      </c>
      <c r="E8" s="21">
        <f>IF(AND(3&gt;=2,3&lt;2+Assumptions!$B$18),1,0)</f>
        <v/>
      </c>
      <c r="F8" s="21">
        <f>IF(AND(4&gt;=2,4&lt;2+Assumptions!$B$18),1,0)</f>
        <v/>
      </c>
      <c r="G8" s="21">
        <f>IF(AND(5&gt;=2,5&lt;2+Assumptions!$B$18),1,0)</f>
        <v/>
      </c>
      <c r="H8" s="21">
        <f>IF(AND(6&gt;=2,6&lt;2+Assumptions!$B$18),1,0)</f>
        <v/>
      </c>
      <c r="I8" s="21">
        <f>IF(AND(7&gt;=2,7&lt;2+Assumptions!$B$18),1,0)</f>
        <v/>
      </c>
      <c r="J8" s="21">
        <f>IF(AND(8&gt;=2,8&lt;2+Assumptions!$B$18),1,0)</f>
        <v/>
      </c>
      <c r="K8" s="21">
        <f>IF(AND(9&gt;=2,9&lt;2+Assumptions!$B$18),1,0)</f>
        <v/>
      </c>
      <c r="L8" s="21">
        <f>IF(AND(10&gt;=2,10&lt;2+Assumptions!$B$18),1,0)</f>
        <v/>
      </c>
      <c r="M8" s="21">
        <f>IF(AND(11&gt;=2,11&lt;2+Assumptions!$B$18),1,0)</f>
        <v/>
      </c>
      <c r="N8" s="21">
        <f>IF(AND(12&gt;=2,12&lt;2+Assumptions!$B$18),1,0)</f>
        <v/>
      </c>
      <c r="O8" s="21">
        <f>IF(AND(13&gt;=2,13&lt;2+Assumptions!$B$18),1,0)</f>
        <v/>
      </c>
      <c r="P8" s="21">
        <f>IF(AND(14&gt;=2,14&lt;2+Assumptions!$B$18),1,0)</f>
        <v/>
      </c>
      <c r="Q8" s="21">
        <f>IF(AND(15&gt;=2,15&lt;2+Assumptions!$B$18),1,0)</f>
        <v/>
      </c>
      <c r="R8" s="21">
        <f>IF(AND(16&gt;=2,16&lt;2+Assumptions!$B$18),1,0)</f>
        <v/>
      </c>
      <c r="S8" s="21">
        <f>IF(AND(17&gt;=2,17&lt;2+Assumptions!$B$18),1,0)</f>
        <v/>
      </c>
      <c r="T8" s="21">
        <f>IF(AND(18&gt;=2,18&lt;2+Assumptions!$B$18),1,0)</f>
        <v/>
      </c>
      <c r="U8" s="21">
        <f>IF(AND(19&gt;=2,19&lt;2+Assumptions!$B$18),1,0)</f>
        <v/>
      </c>
      <c r="V8" s="21">
        <f>IF(AND(20&gt;=2,20&lt;2+Assumptions!$B$18),1,0)</f>
        <v/>
      </c>
      <c r="W8" s="21">
        <f>IF(AND(21&gt;=2,21&lt;2+Assumptions!$B$18),1,0)</f>
        <v/>
      </c>
      <c r="X8" s="21">
        <f>IF(AND(22&gt;=2,22&lt;2+Assumptions!$B$18),1,0)</f>
        <v/>
      </c>
      <c r="Y8" s="21">
        <f>IF(AND(23&gt;=2,23&lt;2+Assumptions!$B$18),1,0)</f>
        <v/>
      </c>
      <c r="Z8" s="21">
        <f>IF(AND(24&gt;=2,24&lt;2+Assumptions!$B$18),1,0)</f>
        <v/>
      </c>
      <c r="AA8" s="21">
        <f>IF(AND(25&gt;=2,25&lt;2+Assumptions!$B$18),1,0)</f>
        <v/>
      </c>
    </row>
    <row r="9">
      <c r="A9" s="10" t="inlineStr">
        <is>
          <t>§45Q utilization value</t>
        </is>
      </c>
      <c r="B9" s="6" t="inlineStr">
        <is>
          <t>$</t>
        </is>
      </c>
      <c r="C9" s="22">
        <f>C6*Assumptions!$B$16*C8*Assumptions!$B$19</f>
        <v/>
      </c>
      <c r="D9" s="22">
        <f>D6*Assumptions!$B$16*D8*Assumptions!$B$19</f>
        <v/>
      </c>
      <c r="E9" s="22">
        <f>E6*Assumptions!$B$16*E8*Assumptions!$B$19</f>
        <v/>
      </c>
      <c r="F9" s="22">
        <f>F6*Assumptions!$B$16*F8*Assumptions!$B$19</f>
        <v/>
      </c>
      <c r="G9" s="22">
        <f>G6*Assumptions!$B$16*G8*Assumptions!$B$19</f>
        <v/>
      </c>
      <c r="H9" s="22">
        <f>H6*Assumptions!$B$16*H8*Assumptions!$B$19</f>
        <v/>
      </c>
      <c r="I9" s="22">
        <f>I6*Assumptions!$B$16*I8*Assumptions!$B$19</f>
        <v/>
      </c>
      <c r="J9" s="22">
        <f>J6*Assumptions!$B$16*J8*Assumptions!$B$19</f>
        <v/>
      </c>
      <c r="K9" s="22">
        <f>K6*Assumptions!$B$16*K8*Assumptions!$B$19</f>
        <v/>
      </c>
      <c r="L9" s="22">
        <f>L6*Assumptions!$B$16*L8*Assumptions!$B$19</f>
        <v/>
      </c>
      <c r="M9" s="22">
        <f>M6*Assumptions!$B$16*M8*Assumptions!$B$19</f>
        <v/>
      </c>
      <c r="N9" s="22">
        <f>N6*Assumptions!$B$16*N8*Assumptions!$B$19</f>
        <v/>
      </c>
      <c r="O9" s="22">
        <f>O6*Assumptions!$B$16*O8*Assumptions!$B$19</f>
        <v/>
      </c>
      <c r="P9" s="22">
        <f>P6*Assumptions!$B$16*P8*Assumptions!$B$19</f>
        <v/>
      </c>
      <c r="Q9" s="22">
        <f>Q6*Assumptions!$B$16*Q8*Assumptions!$B$19</f>
        <v/>
      </c>
      <c r="R9" s="22">
        <f>R6*Assumptions!$B$16*R8*Assumptions!$B$19</f>
        <v/>
      </c>
      <c r="S9" s="22">
        <f>S6*Assumptions!$B$16*S8*Assumptions!$B$19</f>
        <v/>
      </c>
      <c r="T9" s="22">
        <f>T6*Assumptions!$B$16*T8*Assumptions!$B$19</f>
        <v/>
      </c>
      <c r="U9" s="22">
        <f>U6*Assumptions!$B$16*U8*Assumptions!$B$19</f>
        <v/>
      </c>
      <c r="V9" s="22">
        <f>V6*Assumptions!$B$16*V8*Assumptions!$B$19</f>
        <v/>
      </c>
      <c r="W9" s="22">
        <f>W6*Assumptions!$B$16*W8*Assumptions!$B$19</f>
        <v/>
      </c>
      <c r="X9" s="22">
        <f>X6*Assumptions!$B$16*X8*Assumptions!$B$19</f>
        <v/>
      </c>
      <c r="Y9" s="22">
        <f>Y6*Assumptions!$B$16*Y8*Assumptions!$B$19</f>
        <v/>
      </c>
      <c r="Z9" s="22">
        <f>Z6*Assumptions!$B$16*Z8*Assumptions!$B$19</f>
        <v/>
      </c>
      <c r="AA9" s="22">
        <f>AA6*Assumptions!$B$16*AA8*Assumptions!$B$19</f>
        <v/>
      </c>
    </row>
    <row r="10">
      <c r="A10" s="10" t="inlineStr">
        <is>
          <t>§45Q sequestration value</t>
        </is>
      </c>
      <c r="B10" s="6" t="inlineStr">
        <is>
          <t>$</t>
        </is>
      </c>
      <c r="C10" s="22">
        <f>C7*Assumptions!$B$17*C8*Assumptions!$B$19</f>
        <v/>
      </c>
      <c r="D10" s="22">
        <f>D7*Assumptions!$B$17*D8*Assumptions!$B$19</f>
        <v/>
      </c>
      <c r="E10" s="22">
        <f>E7*Assumptions!$B$17*E8*Assumptions!$B$19</f>
        <v/>
      </c>
      <c r="F10" s="22">
        <f>F7*Assumptions!$B$17*F8*Assumptions!$B$19</f>
        <v/>
      </c>
      <c r="G10" s="22">
        <f>G7*Assumptions!$B$17*G8*Assumptions!$B$19</f>
        <v/>
      </c>
      <c r="H10" s="22">
        <f>H7*Assumptions!$B$17*H8*Assumptions!$B$19</f>
        <v/>
      </c>
      <c r="I10" s="22">
        <f>I7*Assumptions!$B$17*I8*Assumptions!$B$19</f>
        <v/>
      </c>
      <c r="J10" s="22">
        <f>J7*Assumptions!$B$17*J8*Assumptions!$B$19</f>
        <v/>
      </c>
      <c r="K10" s="22">
        <f>K7*Assumptions!$B$17*K8*Assumptions!$B$19</f>
        <v/>
      </c>
      <c r="L10" s="22">
        <f>L7*Assumptions!$B$17*L8*Assumptions!$B$19</f>
        <v/>
      </c>
      <c r="M10" s="22">
        <f>M7*Assumptions!$B$17*M8*Assumptions!$B$19</f>
        <v/>
      </c>
      <c r="N10" s="22">
        <f>N7*Assumptions!$B$17*N8*Assumptions!$B$19</f>
        <v/>
      </c>
      <c r="O10" s="22">
        <f>O7*Assumptions!$B$17*O8*Assumptions!$B$19</f>
        <v/>
      </c>
      <c r="P10" s="22">
        <f>P7*Assumptions!$B$17*P8*Assumptions!$B$19</f>
        <v/>
      </c>
      <c r="Q10" s="22">
        <f>Q7*Assumptions!$B$17*Q8*Assumptions!$B$19</f>
        <v/>
      </c>
      <c r="R10" s="22">
        <f>R7*Assumptions!$B$17*R8*Assumptions!$B$19</f>
        <v/>
      </c>
      <c r="S10" s="22">
        <f>S7*Assumptions!$B$17*S8*Assumptions!$B$19</f>
        <v/>
      </c>
      <c r="T10" s="22">
        <f>T7*Assumptions!$B$17*T8*Assumptions!$B$19</f>
        <v/>
      </c>
      <c r="U10" s="22">
        <f>U7*Assumptions!$B$17*U8*Assumptions!$B$19</f>
        <v/>
      </c>
      <c r="V10" s="22">
        <f>V7*Assumptions!$B$17*V8*Assumptions!$B$19</f>
        <v/>
      </c>
      <c r="W10" s="22">
        <f>W7*Assumptions!$B$17*W8*Assumptions!$B$19</f>
        <v/>
      </c>
      <c r="X10" s="22">
        <f>X7*Assumptions!$B$17*X8*Assumptions!$B$19</f>
        <v/>
      </c>
      <c r="Y10" s="22">
        <f>Y7*Assumptions!$B$17*Y8*Assumptions!$B$19</f>
        <v/>
      </c>
      <c r="Z10" s="22">
        <f>Z7*Assumptions!$B$17*Z8*Assumptions!$B$19</f>
        <v/>
      </c>
      <c r="AA10" s="22">
        <f>AA7*Assumptions!$B$17*AA8*Assumptions!$B$19</f>
        <v/>
      </c>
    </row>
    <row r="11">
      <c r="A11" s="10" t="inlineStr">
        <is>
          <t>O₂ coproduct sales</t>
        </is>
      </c>
      <c r="B11" s="6" t="inlineStr">
        <is>
          <t>$</t>
        </is>
      </c>
      <c r="C11" s="22">
        <f>'Mass Balance'!C10*Assumptions!$B$20*Assumptions!$B$21</f>
        <v/>
      </c>
      <c r="D11" s="22">
        <f>'Mass Balance'!D10*Assumptions!$B$20*Assumptions!$B$21</f>
        <v/>
      </c>
      <c r="E11" s="22">
        <f>'Mass Balance'!E10*Assumptions!$B$20*Assumptions!$B$21</f>
        <v/>
      </c>
      <c r="F11" s="22">
        <f>'Mass Balance'!F10*Assumptions!$B$20*Assumptions!$B$21</f>
        <v/>
      </c>
      <c r="G11" s="22">
        <f>'Mass Balance'!G10*Assumptions!$B$20*Assumptions!$B$21</f>
        <v/>
      </c>
      <c r="H11" s="22">
        <f>'Mass Balance'!H10*Assumptions!$B$20*Assumptions!$B$21</f>
        <v/>
      </c>
      <c r="I11" s="22">
        <f>'Mass Balance'!I10*Assumptions!$B$20*Assumptions!$B$21</f>
        <v/>
      </c>
      <c r="J11" s="22">
        <f>'Mass Balance'!J10*Assumptions!$B$20*Assumptions!$B$21</f>
        <v/>
      </c>
      <c r="K11" s="22">
        <f>'Mass Balance'!K10*Assumptions!$B$20*Assumptions!$B$21</f>
        <v/>
      </c>
      <c r="L11" s="22">
        <f>'Mass Balance'!L10*Assumptions!$B$20*Assumptions!$B$21</f>
        <v/>
      </c>
      <c r="M11" s="22">
        <f>'Mass Balance'!M10*Assumptions!$B$20*Assumptions!$B$21</f>
        <v/>
      </c>
      <c r="N11" s="22">
        <f>'Mass Balance'!N10*Assumptions!$B$20*Assumptions!$B$21</f>
        <v/>
      </c>
      <c r="O11" s="22">
        <f>'Mass Balance'!O10*Assumptions!$B$20*Assumptions!$B$21</f>
        <v/>
      </c>
      <c r="P11" s="22">
        <f>'Mass Balance'!P10*Assumptions!$B$20*Assumptions!$B$21</f>
        <v/>
      </c>
      <c r="Q11" s="22">
        <f>'Mass Balance'!Q10*Assumptions!$B$20*Assumptions!$B$21</f>
        <v/>
      </c>
      <c r="R11" s="22">
        <f>'Mass Balance'!R10*Assumptions!$B$20*Assumptions!$B$21</f>
        <v/>
      </c>
      <c r="S11" s="22">
        <f>'Mass Balance'!S10*Assumptions!$B$20*Assumptions!$B$21</f>
        <v/>
      </c>
      <c r="T11" s="22">
        <f>'Mass Balance'!T10*Assumptions!$B$20*Assumptions!$B$21</f>
        <v/>
      </c>
      <c r="U11" s="22">
        <f>'Mass Balance'!U10*Assumptions!$B$20*Assumptions!$B$21</f>
        <v/>
      </c>
      <c r="V11" s="22">
        <f>'Mass Balance'!V10*Assumptions!$B$20*Assumptions!$B$21</f>
        <v/>
      </c>
      <c r="W11" s="22">
        <f>'Mass Balance'!W10*Assumptions!$B$20*Assumptions!$B$21</f>
        <v/>
      </c>
      <c r="X11" s="22">
        <f>'Mass Balance'!X10*Assumptions!$B$20*Assumptions!$B$21</f>
        <v/>
      </c>
      <c r="Y11" s="22">
        <f>'Mass Balance'!Y10*Assumptions!$B$20*Assumptions!$B$21</f>
        <v/>
      </c>
      <c r="Z11" s="22">
        <f>'Mass Balance'!Z10*Assumptions!$B$20*Assumptions!$B$21</f>
        <v/>
      </c>
      <c r="AA11" s="22">
        <f>'Mass Balance'!AA10*Assumptions!$B$20*Assumptions!$B$21</f>
        <v/>
      </c>
    </row>
    <row r="12">
      <c r="A12" s="10" t="inlineStr">
        <is>
          <t>LCFS credit</t>
        </is>
      </c>
      <c r="B12" s="6" t="inlineStr">
        <is>
          <t>$</t>
        </is>
      </c>
      <c r="C12" s="22">
        <f>(C6+C7)*Assumptions!$B$22*Assumptions!$B$23*C8</f>
        <v/>
      </c>
      <c r="D12" s="22">
        <f>(D6+D7)*Assumptions!$B$22*Assumptions!$B$23*D8</f>
        <v/>
      </c>
      <c r="E12" s="22">
        <f>(E6+E7)*Assumptions!$B$22*Assumptions!$B$23*E8</f>
        <v/>
      </c>
      <c r="F12" s="22">
        <f>(F6+F7)*Assumptions!$B$22*Assumptions!$B$23*F8</f>
        <v/>
      </c>
      <c r="G12" s="22">
        <f>(G6+G7)*Assumptions!$B$22*Assumptions!$B$23*G8</f>
        <v/>
      </c>
      <c r="H12" s="22">
        <f>(H6+H7)*Assumptions!$B$22*Assumptions!$B$23*H8</f>
        <v/>
      </c>
      <c r="I12" s="22">
        <f>(I6+I7)*Assumptions!$B$22*Assumptions!$B$23*I8</f>
        <v/>
      </c>
      <c r="J12" s="22">
        <f>(J6+J7)*Assumptions!$B$22*Assumptions!$B$23*J8</f>
        <v/>
      </c>
      <c r="K12" s="22">
        <f>(K6+K7)*Assumptions!$B$22*Assumptions!$B$23*K8</f>
        <v/>
      </c>
      <c r="L12" s="22">
        <f>(L6+L7)*Assumptions!$B$22*Assumptions!$B$23*L8</f>
        <v/>
      </c>
      <c r="M12" s="22">
        <f>(M6+M7)*Assumptions!$B$22*Assumptions!$B$23*M8</f>
        <v/>
      </c>
      <c r="N12" s="22">
        <f>(N6+N7)*Assumptions!$B$22*Assumptions!$B$23*N8</f>
        <v/>
      </c>
      <c r="O12" s="22">
        <f>(O6+O7)*Assumptions!$B$22*Assumptions!$B$23*O8</f>
        <v/>
      </c>
      <c r="P12" s="22">
        <f>(P6+P7)*Assumptions!$B$22*Assumptions!$B$23*P8</f>
        <v/>
      </c>
      <c r="Q12" s="22">
        <f>(Q6+Q7)*Assumptions!$B$22*Assumptions!$B$23*Q8</f>
        <v/>
      </c>
      <c r="R12" s="22">
        <f>(R6+R7)*Assumptions!$B$22*Assumptions!$B$23*R8</f>
        <v/>
      </c>
      <c r="S12" s="22">
        <f>(S6+S7)*Assumptions!$B$22*Assumptions!$B$23*S8</f>
        <v/>
      </c>
      <c r="T12" s="22">
        <f>(T6+T7)*Assumptions!$B$22*Assumptions!$B$23*T8</f>
        <v/>
      </c>
      <c r="U12" s="22">
        <f>(U6+U7)*Assumptions!$B$22*Assumptions!$B$23*U8</f>
        <v/>
      </c>
      <c r="V12" s="22">
        <f>(V6+V7)*Assumptions!$B$22*Assumptions!$B$23*V8</f>
        <v/>
      </c>
      <c r="W12" s="22">
        <f>(W6+W7)*Assumptions!$B$22*Assumptions!$B$23*W8</f>
        <v/>
      </c>
      <c r="X12" s="22">
        <f>(X6+X7)*Assumptions!$B$22*Assumptions!$B$23*X8</f>
        <v/>
      </c>
      <c r="Y12" s="22">
        <f>(Y6+Y7)*Assumptions!$B$22*Assumptions!$B$23*Y8</f>
        <v/>
      </c>
      <c r="Z12" s="22">
        <f>(Z6+Z7)*Assumptions!$B$22*Assumptions!$B$23*Z8</f>
        <v/>
      </c>
      <c r="AA12" s="22">
        <f>(AA6+AA7)*Assumptions!$B$22*Assumptions!$B$23*AA8</f>
        <v/>
      </c>
    </row>
    <row r="13">
      <c r="A13" s="10" t="inlineStr">
        <is>
          <t>Carbon-removal attribute</t>
        </is>
      </c>
      <c r="B13" s="6" t="inlineStr">
        <is>
          <t>$</t>
        </is>
      </c>
      <c r="C13" s="22">
        <f>(C6+C7)*Assumptions!$B$24*Assumptions!$B$25*IF(1&gt;=2,1,0)</f>
        <v/>
      </c>
      <c r="D13" s="22">
        <f>(D6+D7)*Assumptions!$B$24*Assumptions!$B$25*IF(2&gt;=2,1,0)</f>
        <v/>
      </c>
      <c r="E13" s="22">
        <f>(E6+E7)*Assumptions!$B$24*Assumptions!$B$25*IF(3&gt;=2,1,0)</f>
        <v/>
      </c>
      <c r="F13" s="22">
        <f>(F6+F7)*Assumptions!$B$24*Assumptions!$B$25*IF(4&gt;=2,1,0)</f>
        <v/>
      </c>
      <c r="G13" s="22">
        <f>(G6+G7)*Assumptions!$B$24*Assumptions!$B$25*IF(5&gt;=2,1,0)</f>
        <v/>
      </c>
      <c r="H13" s="22">
        <f>(H6+H7)*Assumptions!$B$24*Assumptions!$B$25*IF(6&gt;=2,1,0)</f>
        <v/>
      </c>
      <c r="I13" s="22">
        <f>(I6+I7)*Assumptions!$B$24*Assumptions!$B$25*IF(7&gt;=2,1,0)</f>
        <v/>
      </c>
      <c r="J13" s="22">
        <f>(J6+J7)*Assumptions!$B$24*Assumptions!$B$25*IF(8&gt;=2,1,0)</f>
        <v/>
      </c>
      <c r="K13" s="22">
        <f>(K6+K7)*Assumptions!$B$24*Assumptions!$B$25*IF(9&gt;=2,1,0)</f>
        <v/>
      </c>
      <c r="L13" s="22">
        <f>(L6+L7)*Assumptions!$B$24*Assumptions!$B$25*IF(10&gt;=2,1,0)</f>
        <v/>
      </c>
      <c r="M13" s="22">
        <f>(M6+M7)*Assumptions!$B$24*Assumptions!$B$25*IF(11&gt;=2,1,0)</f>
        <v/>
      </c>
      <c r="N13" s="22">
        <f>(N6+N7)*Assumptions!$B$24*Assumptions!$B$25*IF(12&gt;=2,1,0)</f>
        <v/>
      </c>
      <c r="O13" s="22">
        <f>(O6+O7)*Assumptions!$B$24*Assumptions!$B$25*IF(13&gt;=2,1,0)</f>
        <v/>
      </c>
      <c r="P13" s="22">
        <f>(P6+P7)*Assumptions!$B$24*Assumptions!$B$25*IF(14&gt;=2,1,0)</f>
        <v/>
      </c>
      <c r="Q13" s="22">
        <f>(Q6+Q7)*Assumptions!$B$24*Assumptions!$B$25*IF(15&gt;=2,1,0)</f>
        <v/>
      </c>
      <c r="R13" s="22">
        <f>(R6+R7)*Assumptions!$B$24*Assumptions!$B$25*IF(16&gt;=2,1,0)</f>
        <v/>
      </c>
      <c r="S13" s="22">
        <f>(S6+S7)*Assumptions!$B$24*Assumptions!$B$25*IF(17&gt;=2,1,0)</f>
        <v/>
      </c>
      <c r="T13" s="22">
        <f>(T6+T7)*Assumptions!$B$24*Assumptions!$B$25*IF(18&gt;=2,1,0)</f>
        <v/>
      </c>
      <c r="U13" s="22">
        <f>(U6+U7)*Assumptions!$B$24*Assumptions!$B$25*IF(19&gt;=2,1,0)</f>
        <v/>
      </c>
      <c r="V13" s="22">
        <f>(V6+V7)*Assumptions!$B$24*Assumptions!$B$25*IF(20&gt;=2,1,0)</f>
        <v/>
      </c>
      <c r="W13" s="22">
        <f>(W6+W7)*Assumptions!$B$24*Assumptions!$B$25*IF(21&gt;=2,1,0)</f>
        <v/>
      </c>
      <c r="X13" s="22">
        <f>(X6+X7)*Assumptions!$B$24*Assumptions!$B$25*IF(22&gt;=2,1,0)</f>
        <v/>
      </c>
      <c r="Y13" s="22">
        <f>(Y6+Y7)*Assumptions!$B$24*Assumptions!$B$25*IF(23&gt;=2,1,0)</f>
        <v/>
      </c>
      <c r="Z13" s="22">
        <f>(Z6+Z7)*Assumptions!$B$24*Assumptions!$B$25*IF(24&gt;=2,1,0)</f>
        <v/>
      </c>
      <c r="AA13" s="22">
        <f>(AA6+AA7)*Assumptions!$B$24*Assumptions!$B$25*IF(25&gt;=2,1,0)</f>
        <v/>
      </c>
    </row>
    <row r="14">
      <c r="A14" s="10" t="inlineStr">
        <is>
          <t>Effective credit price</t>
        </is>
      </c>
      <c r="B14" s="6" t="inlineStr">
        <is>
          <t>$/t</t>
        </is>
      </c>
      <c r="C14" s="31">
        <f>IFERROR((C9+C10+C12+C13)/(C6+C7),0)</f>
        <v/>
      </c>
      <c r="D14" s="31">
        <f>IFERROR((D9+D10+D12+D13)/(D6+D7),0)</f>
        <v/>
      </c>
      <c r="E14" s="31">
        <f>IFERROR((E9+E10+E12+E13)/(E6+E7),0)</f>
        <v/>
      </c>
      <c r="F14" s="31">
        <f>IFERROR((F9+F10+F12+F13)/(F6+F7),0)</f>
        <v/>
      </c>
      <c r="G14" s="31">
        <f>IFERROR((G9+G10+G12+G13)/(G6+G7),0)</f>
        <v/>
      </c>
      <c r="H14" s="31">
        <f>IFERROR((H9+H10+H12+H13)/(H6+H7),0)</f>
        <v/>
      </c>
      <c r="I14" s="31">
        <f>IFERROR((I9+I10+I12+I13)/(I6+I7),0)</f>
        <v/>
      </c>
      <c r="J14" s="31">
        <f>IFERROR((J9+J10+J12+J13)/(J6+J7),0)</f>
        <v/>
      </c>
      <c r="K14" s="31">
        <f>IFERROR((K9+K10+K12+K13)/(K6+K7),0)</f>
        <v/>
      </c>
      <c r="L14" s="31">
        <f>IFERROR((L9+L10+L12+L13)/(L6+L7),0)</f>
        <v/>
      </c>
      <c r="M14" s="31">
        <f>IFERROR((M9+M10+M12+M13)/(M6+M7),0)</f>
        <v/>
      </c>
      <c r="N14" s="31">
        <f>IFERROR((N9+N10+N12+N13)/(N6+N7),0)</f>
        <v/>
      </c>
      <c r="O14" s="31">
        <f>IFERROR((O9+O10+O12+O13)/(O6+O7),0)</f>
        <v/>
      </c>
      <c r="P14" s="31">
        <f>IFERROR((P9+P10+P12+P13)/(P6+P7),0)</f>
        <v/>
      </c>
      <c r="Q14" s="31">
        <f>IFERROR((Q9+Q10+Q12+Q13)/(Q6+Q7),0)</f>
        <v/>
      </c>
      <c r="R14" s="31">
        <f>IFERROR((R9+R10+R12+R13)/(R6+R7),0)</f>
        <v/>
      </c>
      <c r="S14" s="31">
        <f>IFERROR((S9+S10+S12+S13)/(S6+S7),0)</f>
        <v/>
      </c>
      <c r="T14" s="31">
        <f>IFERROR((T9+T10+T12+T13)/(T6+T7),0)</f>
        <v/>
      </c>
      <c r="U14" s="31">
        <f>IFERROR((U9+U10+U12+U13)/(U6+U7),0)</f>
        <v/>
      </c>
      <c r="V14" s="31">
        <f>IFERROR((V9+V10+V12+V13)/(V6+V7),0)</f>
        <v/>
      </c>
      <c r="W14" s="31">
        <f>IFERROR((W9+W10+W12+W13)/(W6+W7),0)</f>
        <v/>
      </c>
      <c r="X14" s="31">
        <f>IFERROR((X9+X10+X12+X13)/(X6+X7),0)</f>
        <v/>
      </c>
      <c r="Y14" s="31">
        <f>IFERROR((Y9+Y10+Y12+Y13)/(Y6+Y7),0)</f>
        <v/>
      </c>
      <c r="Z14" s="31">
        <f>IFERROR((Z9+Z10+Z12+Z13)/(Z6+Z7),0)</f>
        <v/>
      </c>
      <c r="AA14" s="31">
        <f>IFERROR((AA9+AA10+AA12+AA13)/(AA6+AA7),0)</f>
        <v/>
      </c>
    </row>
    <row r="15">
      <c r="A15" s="3" t="inlineStr">
        <is>
          <t>Credits and coproduct</t>
        </is>
      </c>
      <c r="B15" s="6" t="inlineStr">
        <is>
          <t>$</t>
        </is>
      </c>
      <c r="C15" s="25">
        <f>C9+C10+C12+C13+C11</f>
        <v/>
      </c>
      <c r="D15" s="25">
        <f>D9+D10+D12+D13+D11</f>
        <v/>
      </c>
      <c r="E15" s="25">
        <f>E9+E10+E12+E13+E11</f>
        <v/>
      </c>
      <c r="F15" s="25">
        <f>F9+F10+F12+F13+F11</f>
        <v/>
      </c>
      <c r="G15" s="25">
        <f>G9+G10+G12+G13+G11</f>
        <v/>
      </c>
      <c r="H15" s="25">
        <f>H9+H10+H12+H13+H11</f>
        <v/>
      </c>
      <c r="I15" s="25">
        <f>I9+I10+I12+I13+I11</f>
        <v/>
      </c>
      <c r="J15" s="25">
        <f>J9+J10+J12+J13+J11</f>
        <v/>
      </c>
      <c r="K15" s="25">
        <f>K9+K10+K12+K13+K11</f>
        <v/>
      </c>
      <c r="L15" s="25">
        <f>L9+L10+L12+L13+L11</f>
        <v/>
      </c>
      <c r="M15" s="25">
        <f>M9+M10+M12+M13+M11</f>
        <v/>
      </c>
      <c r="N15" s="25">
        <f>N9+N10+N12+N13+N11</f>
        <v/>
      </c>
      <c r="O15" s="25">
        <f>O9+O10+O12+O13+O11</f>
        <v/>
      </c>
      <c r="P15" s="25">
        <f>P9+P10+P12+P13+P11</f>
        <v/>
      </c>
      <c r="Q15" s="25">
        <f>Q9+Q10+Q12+Q13+Q11</f>
        <v/>
      </c>
      <c r="R15" s="25">
        <f>R9+R10+R12+R13+R11</f>
        <v/>
      </c>
      <c r="S15" s="25">
        <f>S9+S10+S12+S13+S11</f>
        <v/>
      </c>
      <c r="T15" s="25">
        <f>T9+T10+T12+T13+T11</f>
        <v/>
      </c>
      <c r="U15" s="25">
        <f>U9+U10+U12+U13+U11</f>
        <v/>
      </c>
      <c r="V15" s="25">
        <f>V9+V10+V12+V13+V11</f>
        <v/>
      </c>
      <c r="W15" s="25">
        <f>W9+W10+W12+W13+W11</f>
        <v/>
      </c>
      <c r="X15" s="25">
        <f>X9+X10+X12+X13+X11</f>
        <v/>
      </c>
      <c r="Y15" s="25">
        <f>Y9+Y10+Y12+Y13+Y11</f>
        <v/>
      </c>
      <c r="Z15" s="25">
        <f>Z9+Z10+Z12+Z13+Z11</f>
        <v/>
      </c>
      <c r="AA15" s="25">
        <f>AA9+AA10+AA12+AA13+AA11</f>
        <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A14"/>
  <sheetViews>
    <sheetView showGridLines="0" workbookViewId="0">
      <selection activeCell="A1" sqref="A1"/>
    </sheetView>
  </sheetViews>
  <sheetFormatPr baseColWidth="8" defaultRowHeight="15"/>
  <cols>
    <col width="42" customWidth="1" min="1" max="1"/>
    <col width="12"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s>
  <sheetData>
    <row r="1">
      <c r="A1" s="1" t="inlineStr">
        <is>
          <t>Operating cost</t>
        </is>
      </c>
    </row>
    <row r="2">
      <c r="A2" s="6" t="inlineStr">
        <is>
          <t>Power and conversion cost scale with tonnage. Capture, injection and the fixed plant run for the whole CO₂ stream whether or not graphene sells.</t>
        </is>
      </c>
    </row>
    <row r="4">
      <c r="A4" s="9" t="n"/>
      <c r="B4" s="29" t="inlineStr">
        <is>
          <t>Unit</t>
        </is>
      </c>
      <c r="C4" s="30" t="inlineStr">
        <is>
          <t>Y1</t>
        </is>
      </c>
      <c r="D4" s="30" t="inlineStr">
        <is>
          <t>Y2</t>
        </is>
      </c>
      <c r="E4" s="30" t="inlineStr">
        <is>
          <t>Y3</t>
        </is>
      </c>
      <c r="F4" s="30" t="inlineStr">
        <is>
          <t>Y4</t>
        </is>
      </c>
      <c r="G4" s="30" t="inlineStr">
        <is>
          <t>Y5</t>
        </is>
      </c>
      <c r="H4" s="30" t="inlineStr">
        <is>
          <t>Y6</t>
        </is>
      </c>
      <c r="I4" s="30" t="inlineStr">
        <is>
          <t>Y7</t>
        </is>
      </c>
      <c r="J4" s="30" t="inlineStr">
        <is>
          <t>Y8</t>
        </is>
      </c>
      <c r="K4" s="30" t="inlineStr">
        <is>
          <t>Y9</t>
        </is>
      </c>
      <c r="L4" s="30" t="inlineStr">
        <is>
          <t>Y10</t>
        </is>
      </c>
      <c r="M4" s="30" t="inlineStr">
        <is>
          <t>Y11</t>
        </is>
      </c>
      <c r="N4" s="30" t="inlineStr">
        <is>
          <t>Y12</t>
        </is>
      </c>
      <c r="O4" s="30" t="inlineStr">
        <is>
          <t>Y13</t>
        </is>
      </c>
      <c r="P4" s="30" t="inlineStr">
        <is>
          <t>Y14</t>
        </is>
      </c>
      <c r="Q4" s="30" t="inlineStr">
        <is>
          <t>Y15</t>
        </is>
      </c>
      <c r="R4" s="30" t="inlineStr">
        <is>
          <t>Y16</t>
        </is>
      </c>
      <c r="S4" s="30" t="inlineStr">
        <is>
          <t>Y17</t>
        </is>
      </c>
      <c r="T4" s="30" t="inlineStr">
        <is>
          <t>Y18</t>
        </is>
      </c>
      <c r="U4" s="30" t="inlineStr">
        <is>
          <t>Y19</t>
        </is>
      </c>
      <c r="V4" s="30" t="inlineStr">
        <is>
          <t>Y20</t>
        </is>
      </c>
      <c r="W4" s="30" t="inlineStr">
        <is>
          <t>Y21</t>
        </is>
      </c>
      <c r="X4" s="30" t="inlineStr">
        <is>
          <t>Y22</t>
        </is>
      </c>
      <c r="Y4" s="30" t="inlineStr">
        <is>
          <t>Y23</t>
        </is>
      </c>
      <c r="Z4" s="30" t="inlineStr">
        <is>
          <t>Y24</t>
        </is>
      </c>
      <c r="AA4" s="30" t="inlineStr">
        <is>
          <t>Y25</t>
        </is>
      </c>
    </row>
    <row r="6">
      <c r="A6" s="10" t="inlineStr">
        <is>
          <t>Power</t>
        </is>
      </c>
      <c r="B6" s="6" t="inlineStr">
        <is>
          <t>$</t>
        </is>
      </c>
      <c r="C6" s="22">
        <f>'Mass Balance'!C14*Assumptions!$B$15</f>
        <v/>
      </c>
      <c r="D6" s="22">
        <f>'Mass Balance'!D14*Assumptions!$B$15</f>
        <v/>
      </c>
      <c r="E6" s="22">
        <f>'Mass Balance'!E14*Assumptions!$B$15</f>
        <v/>
      </c>
      <c r="F6" s="22">
        <f>'Mass Balance'!F14*Assumptions!$B$15</f>
        <v/>
      </c>
      <c r="G6" s="22">
        <f>'Mass Balance'!G14*Assumptions!$B$15</f>
        <v/>
      </c>
      <c r="H6" s="22">
        <f>'Mass Balance'!H14*Assumptions!$B$15</f>
        <v/>
      </c>
      <c r="I6" s="22">
        <f>'Mass Balance'!I14*Assumptions!$B$15</f>
        <v/>
      </c>
      <c r="J6" s="22">
        <f>'Mass Balance'!J14*Assumptions!$B$15</f>
        <v/>
      </c>
      <c r="K6" s="22">
        <f>'Mass Balance'!K14*Assumptions!$B$15</f>
        <v/>
      </c>
      <c r="L6" s="22">
        <f>'Mass Balance'!L14*Assumptions!$B$15</f>
        <v/>
      </c>
      <c r="M6" s="22">
        <f>'Mass Balance'!M14*Assumptions!$B$15</f>
        <v/>
      </c>
      <c r="N6" s="22">
        <f>'Mass Balance'!N14*Assumptions!$B$15</f>
        <v/>
      </c>
      <c r="O6" s="22">
        <f>'Mass Balance'!O14*Assumptions!$B$15</f>
        <v/>
      </c>
      <c r="P6" s="22">
        <f>'Mass Balance'!P14*Assumptions!$B$15</f>
        <v/>
      </c>
      <c r="Q6" s="22">
        <f>'Mass Balance'!Q14*Assumptions!$B$15</f>
        <v/>
      </c>
      <c r="R6" s="22">
        <f>'Mass Balance'!R14*Assumptions!$B$15</f>
        <v/>
      </c>
      <c r="S6" s="22">
        <f>'Mass Balance'!S14*Assumptions!$B$15</f>
        <v/>
      </c>
      <c r="T6" s="22">
        <f>'Mass Balance'!T14*Assumptions!$B$15</f>
        <v/>
      </c>
      <c r="U6" s="22">
        <f>'Mass Balance'!U14*Assumptions!$B$15</f>
        <v/>
      </c>
      <c r="V6" s="22">
        <f>'Mass Balance'!V14*Assumptions!$B$15</f>
        <v/>
      </c>
      <c r="W6" s="22">
        <f>'Mass Balance'!W14*Assumptions!$B$15</f>
        <v/>
      </c>
      <c r="X6" s="22">
        <f>'Mass Balance'!X14*Assumptions!$B$15</f>
        <v/>
      </c>
      <c r="Y6" s="22">
        <f>'Mass Balance'!Y14*Assumptions!$B$15</f>
        <v/>
      </c>
      <c r="Z6" s="22">
        <f>'Mass Balance'!Z14*Assumptions!$B$15</f>
        <v/>
      </c>
      <c r="AA6" s="22">
        <f>'Mass Balance'!AA14*Assumptions!$B$15</f>
        <v/>
      </c>
    </row>
    <row r="7">
      <c r="A7" s="10" t="inlineStr">
        <is>
          <t>Non-power conversion opex</t>
        </is>
      </c>
      <c r="B7" s="6" t="inlineStr">
        <is>
          <t>$</t>
        </is>
      </c>
      <c r="C7" s="22">
        <f>'Mass Balance'!C7*Assumptions!$B$35</f>
        <v/>
      </c>
      <c r="D7" s="22">
        <f>'Mass Balance'!D7*Assumptions!$B$35</f>
        <v/>
      </c>
      <c r="E7" s="22">
        <f>'Mass Balance'!E7*Assumptions!$B$35</f>
        <v/>
      </c>
      <c r="F7" s="22">
        <f>'Mass Balance'!F7*Assumptions!$B$35</f>
        <v/>
      </c>
      <c r="G7" s="22">
        <f>'Mass Balance'!G7*Assumptions!$B$35</f>
        <v/>
      </c>
      <c r="H7" s="22">
        <f>'Mass Balance'!H7*Assumptions!$B$35</f>
        <v/>
      </c>
      <c r="I7" s="22">
        <f>'Mass Balance'!I7*Assumptions!$B$35</f>
        <v/>
      </c>
      <c r="J7" s="22">
        <f>'Mass Balance'!J7*Assumptions!$B$35</f>
        <v/>
      </c>
      <c r="K7" s="22">
        <f>'Mass Balance'!K7*Assumptions!$B$35</f>
        <v/>
      </c>
      <c r="L7" s="22">
        <f>'Mass Balance'!L7*Assumptions!$B$35</f>
        <v/>
      </c>
      <c r="M7" s="22">
        <f>'Mass Balance'!M7*Assumptions!$B$35</f>
        <v/>
      </c>
      <c r="N7" s="22">
        <f>'Mass Balance'!N7*Assumptions!$B$35</f>
        <v/>
      </c>
      <c r="O7" s="22">
        <f>'Mass Balance'!O7*Assumptions!$B$35</f>
        <v/>
      </c>
      <c r="P7" s="22">
        <f>'Mass Balance'!P7*Assumptions!$B$35</f>
        <v/>
      </c>
      <c r="Q7" s="22">
        <f>'Mass Balance'!Q7*Assumptions!$B$35</f>
        <v/>
      </c>
      <c r="R7" s="22">
        <f>'Mass Balance'!R7*Assumptions!$B$35</f>
        <v/>
      </c>
      <c r="S7" s="22">
        <f>'Mass Balance'!S7*Assumptions!$B$35</f>
        <v/>
      </c>
      <c r="T7" s="22">
        <f>'Mass Balance'!T7*Assumptions!$B$35</f>
        <v/>
      </c>
      <c r="U7" s="22">
        <f>'Mass Balance'!U7*Assumptions!$B$35</f>
        <v/>
      </c>
      <c r="V7" s="22">
        <f>'Mass Balance'!V7*Assumptions!$B$35</f>
        <v/>
      </c>
      <c r="W7" s="22">
        <f>'Mass Balance'!W7*Assumptions!$B$35</f>
        <v/>
      </c>
      <c r="X7" s="22">
        <f>'Mass Balance'!X7*Assumptions!$B$35</f>
        <v/>
      </c>
      <c r="Y7" s="22">
        <f>'Mass Balance'!Y7*Assumptions!$B$35</f>
        <v/>
      </c>
      <c r="Z7" s="22">
        <f>'Mass Balance'!Z7*Assumptions!$B$35</f>
        <v/>
      </c>
      <c r="AA7" s="22">
        <f>'Mass Balance'!AA7*Assumptions!$B$35</f>
        <v/>
      </c>
    </row>
    <row r="8">
      <c r="A8" s="10" t="inlineStr">
        <is>
          <t>CO₂ transport and injection</t>
        </is>
      </c>
      <c r="B8" s="6" t="inlineStr">
        <is>
          <t>$</t>
        </is>
      </c>
      <c r="C8" s="22">
        <f>'Mass Balance'!C9*Assumptions!$B$39</f>
        <v/>
      </c>
      <c r="D8" s="22">
        <f>'Mass Balance'!D9*Assumptions!$B$39</f>
        <v/>
      </c>
      <c r="E8" s="22">
        <f>'Mass Balance'!E9*Assumptions!$B$39</f>
        <v/>
      </c>
      <c r="F8" s="22">
        <f>'Mass Balance'!F9*Assumptions!$B$39</f>
        <v/>
      </c>
      <c r="G8" s="22">
        <f>'Mass Balance'!G9*Assumptions!$B$39</f>
        <v/>
      </c>
      <c r="H8" s="22">
        <f>'Mass Balance'!H9*Assumptions!$B$39</f>
        <v/>
      </c>
      <c r="I8" s="22">
        <f>'Mass Balance'!I9*Assumptions!$B$39</f>
        <v/>
      </c>
      <c r="J8" s="22">
        <f>'Mass Balance'!J9*Assumptions!$B$39</f>
        <v/>
      </c>
      <c r="K8" s="22">
        <f>'Mass Balance'!K9*Assumptions!$B$39</f>
        <v/>
      </c>
      <c r="L8" s="22">
        <f>'Mass Balance'!L9*Assumptions!$B$39</f>
        <v/>
      </c>
      <c r="M8" s="22">
        <f>'Mass Balance'!M9*Assumptions!$B$39</f>
        <v/>
      </c>
      <c r="N8" s="22">
        <f>'Mass Balance'!N9*Assumptions!$B$39</f>
        <v/>
      </c>
      <c r="O8" s="22">
        <f>'Mass Balance'!O9*Assumptions!$B$39</f>
        <v/>
      </c>
      <c r="P8" s="22">
        <f>'Mass Balance'!P9*Assumptions!$B$39</f>
        <v/>
      </c>
      <c r="Q8" s="22">
        <f>'Mass Balance'!Q9*Assumptions!$B$39</f>
        <v/>
      </c>
      <c r="R8" s="22">
        <f>'Mass Balance'!R9*Assumptions!$B$39</f>
        <v/>
      </c>
      <c r="S8" s="22">
        <f>'Mass Balance'!S9*Assumptions!$B$39</f>
        <v/>
      </c>
      <c r="T8" s="22">
        <f>'Mass Balance'!T9*Assumptions!$B$39</f>
        <v/>
      </c>
      <c r="U8" s="22">
        <f>'Mass Balance'!U9*Assumptions!$B$39</f>
        <v/>
      </c>
      <c r="V8" s="22">
        <f>'Mass Balance'!V9*Assumptions!$B$39</f>
        <v/>
      </c>
      <c r="W8" s="22">
        <f>'Mass Balance'!W9*Assumptions!$B$39</f>
        <v/>
      </c>
      <c r="X8" s="22">
        <f>'Mass Balance'!X9*Assumptions!$B$39</f>
        <v/>
      </c>
      <c r="Y8" s="22">
        <f>'Mass Balance'!Y9*Assumptions!$B$39</f>
        <v/>
      </c>
      <c r="Z8" s="22">
        <f>'Mass Balance'!Z9*Assumptions!$B$39</f>
        <v/>
      </c>
      <c r="AA8" s="22">
        <f>'Mass Balance'!AA9*Assumptions!$B$39</f>
        <v/>
      </c>
    </row>
    <row r="9">
      <c r="A9" s="10" t="inlineStr">
        <is>
          <t>Electrodes, carbonate, amine makeup</t>
        </is>
      </c>
      <c r="B9" s="6" t="inlineStr">
        <is>
          <t>$</t>
        </is>
      </c>
      <c r="C9" s="22">
        <f>(Assumptions!$B$37+Assumptions!$B$38)*MIN(1,MAX(0.25,'Capacity &amp; Capex'!C7/180000))</f>
        <v/>
      </c>
      <c r="D9" s="22">
        <f>(Assumptions!$B$37+Assumptions!$B$38)*MIN(1,MAX(0.25,'Capacity &amp; Capex'!D7/180000))</f>
        <v/>
      </c>
      <c r="E9" s="22">
        <f>(Assumptions!$B$37+Assumptions!$B$38)*MIN(1,MAX(0.25,'Capacity &amp; Capex'!E7/180000))</f>
        <v/>
      </c>
      <c r="F9" s="22">
        <f>(Assumptions!$B$37+Assumptions!$B$38)*MIN(1,MAX(0.25,'Capacity &amp; Capex'!F7/180000))</f>
        <v/>
      </c>
      <c r="G9" s="22">
        <f>(Assumptions!$B$37+Assumptions!$B$38)*MIN(1,MAX(0.25,'Capacity &amp; Capex'!G7/180000))</f>
        <v/>
      </c>
      <c r="H9" s="22">
        <f>(Assumptions!$B$37+Assumptions!$B$38)*MIN(1,MAX(0.25,'Capacity &amp; Capex'!H7/180000))</f>
        <v/>
      </c>
      <c r="I9" s="22">
        <f>(Assumptions!$B$37+Assumptions!$B$38)*MIN(1,MAX(0.25,'Capacity &amp; Capex'!I7/180000))</f>
        <v/>
      </c>
      <c r="J9" s="22">
        <f>(Assumptions!$B$37+Assumptions!$B$38)*MIN(1,MAX(0.25,'Capacity &amp; Capex'!J7/180000))</f>
        <v/>
      </c>
      <c r="K9" s="22">
        <f>(Assumptions!$B$37+Assumptions!$B$38)*MIN(1,MAX(0.25,'Capacity &amp; Capex'!K7/180000))</f>
        <v/>
      </c>
      <c r="L9" s="22">
        <f>(Assumptions!$B$37+Assumptions!$B$38)*MIN(1,MAX(0.25,'Capacity &amp; Capex'!L7/180000))</f>
        <v/>
      </c>
      <c r="M9" s="22">
        <f>(Assumptions!$B$37+Assumptions!$B$38)*MIN(1,MAX(0.25,'Capacity &amp; Capex'!M7/180000))</f>
        <v/>
      </c>
      <c r="N9" s="22">
        <f>(Assumptions!$B$37+Assumptions!$B$38)*MIN(1,MAX(0.25,'Capacity &amp; Capex'!N7/180000))</f>
        <v/>
      </c>
      <c r="O9" s="22">
        <f>(Assumptions!$B$37+Assumptions!$B$38)*MIN(1,MAX(0.25,'Capacity &amp; Capex'!O7/180000))</f>
        <v/>
      </c>
      <c r="P9" s="22">
        <f>(Assumptions!$B$37+Assumptions!$B$38)*MIN(1,MAX(0.25,'Capacity &amp; Capex'!P7/180000))</f>
        <v/>
      </c>
      <c r="Q9" s="22">
        <f>(Assumptions!$B$37+Assumptions!$B$38)*MIN(1,MAX(0.25,'Capacity &amp; Capex'!Q7/180000))</f>
        <v/>
      </c>
      <c r="R9" s="22">
        <f>(Assumptions!$B$37+Assumptions!$B$38)*MIN(1,MAX(0.25,'Capacity &amp; Capex'!R7/180000))</f>
        <v/>
      </c>
      <c r="S9" s="22">
        <f>(Assumptions!$B$37+Assumptions!$B$38)*MIN(1,MAX(0.25,'Capacity &amp; Capex'!S7/180000))</f>
        <v/>
      </c>
      <c r="T9" s="22">
        <f>(Assumptions!$B$37+Assumptions!$B$38)*MIN(1,MAX(0.25,'Capacity &amp; Capex'!T7/180000))</f>
        <v/>
      </c>
      <c r="U9" s="22">
        <f>(Assumptions!$B$37+Assumptions!$B$38)*MIN(1,MAX(0.25,'Capacity &amp; Capex'!U7/180000))</f>
        <v/>
      </c>
      <c r="V9" s="22">
        <f>(Assumptions!$B$37+Assumptions!$B$38)*MIN(1,MAX(0.25,'Capacity &amp; Capex'!V7/180000))</f>
        <v/>
      </c>
      <c r="W9" s="22">
        <f>(Assumptions!$B$37+Assumptions!$B$38)*MIN(1,MAX(0.25,'Capacity &amp; Capex'!W7/180000))</f>
        <v/>
      </c>
      <c r="X9" s="22">
        <f>(Assumptions!$B$37+Assumptions!$B$38)*MIN(1,MAX(0.25,'Capacity &amp; Capex'!X7/180000))</f>
        <v/>
      </c>
      <c r="Y9" s="22">
        <f>(Assumptions!$B$37+Assumptions!$B$38)*MIN(1,MAX(0.25,'Capacity &amp; Capex'!Y7/180000))</f>
        <v/>
      </c>
      <c r="Z9" s="22">
        <f>(Assumptions!$B$37+Assumptions!$B$38)*MIN(1,MAX(0.25,'Capacity &amp; Capex'!Z7/180000))</f>
        <v/>
      </c>
      <c r="AA9" s="22">
        <f>(Assumptions!$B$37+Assumptions!$B$38)*MIN(1,MAX(0.25,'Capacity &amp; Capex'!AA7/180000))</f>
        <v/>
      </c>
    </row>
    <row r="10">
      <c r="A10" s="10" t="inlineStr">
        <is>
          <t>Labor</t>
        </is>
      </c>
      <c r="B10" s="6" t="inlineStr">
        <is>
          <t>$</t>
        </is>
      </c>
      <c r="C10" s="22">
        <f>Assumptions!$B$36*(94+158*MIN(1,'Capacity &amp; Capex'!C7/180000))</f>
        <v/>
      </c>
      <c r="D10" s="22">
        <f>Assumptions!$B$36*(94+158*MIN(1,'Capacity &amp; Capex'!D7/180000))</f>
        <v/>
      </c>
      <c r="E10" s="22">
        <f>Assumptions!$B$36*(94+158*MIN(1,'Capacity &amp; Capex'!E7/180000))</f>
        <v/>
      </c>
      <c r="F10" s="22">
        <f>Assumptions!$B$36*(94+158*MIN(1,'Capacity &amp; Capex'!F7/180000))</f>
        <v/>
      </c>
      <c r="G10" s="22">
        <f>Assumptions!$B$36*(94+158*MIN(1,'Capacity &amp; Capex'!G7/180000))</f>
        <v/>
      </c>
      <c r="H10" s="22">
        <f>Assumptions!$B$36*(94+158*MIN(1,'Capacity &amp; Capex'!H7/180000))</f>
        <v/>
      </c>
      <c r="I10" s="22">
        <f>Assumptions!$B$36*(94+158*MIN(1,'Capacity &amp; Capex'!I7/180000))</f>
        <v/>
      </c>
      <c r="J10" s="22">
        <f>Assumptions!$B$36*(94+158*MIN(1,'Capacity &amp; Capex'!J7/180000))</f>
        <v/>
      </c>
      <c r="K10" s="22">
        <f>Assumptions!$B$36*(94+158*MIN(1,'Capacity &amp; Capex'!K7/180000))</f>
        <v/>
      </c>
      <c r="L10" s="22">
        <f>Assumptions!$B$36*(94+158*MIN(1,'Capacity &amp; Capex'!L7/180000))</f>
        <v/>
      </c>
      <c r="M10" s="22">
        <f>Assumptions!$B$36*(94+158*MIN(1,'Capacity &amp; Capex'!M7/180000))</f>
        <v/>
      </c>
      <c r="N10" s="22">
        <f>Assumptions!$B$36*(94+158*MIN(1,'Capacity &amp; Capex'!N7/180000))</f>
        <v/>
      </c>
      <c r="O10" s="22">
        <f>Assumptions!$B$36*(94+158*MIN(1,'Capacity &amp; Capex'!O7/180000))</f>
        <v/>
      </c>
      <c r="P10" s="22">
        <f>Assumptions!$B$36*(94+158*MIN(1,'Capacity &amp; Capex'!P7/180000))</f>
        <v/>
      </c>
      <c r="Q10" s="22">
        <f>Assumptions!$B$36*(94+158*MIN(1,'Capacity &amp; Capex'!Q7/180000))</f>
        <v/>
      </c>
      <c r="R10" s="22">
        <f>Assumptions!$B$36*(94+158*MIN(1,'Capacity &amp; Capex'!R7/180000))</f>
        <v/>
      </c>
      <c r="S10" s="22">
        <f>Assumptions!$B$36*(94+158*MIN(1,'Capacity &amp; Capex'!S7/180000))</f>
        <v/>
      </c>
      <c r="T10" s="22">
        <f>Assumptions!$B$36*(94+158*MIN(1,'Capacity &amp; Capex'!T7/180000))</f>
        <v/>
      </c>
      <c r="U10" s="22">
        <f>Assumptions!$B$36*(94+158*MIN(1,'Capacity &amp; Capex'!U7/180000))</f>
        <v/>
      </c>
      <c r="V10" s="22">
        <f>Assumptions!$B$36*(94+158*MIN(1,'Capacity &amp; Capex'!V7/180000))</f>
        <v/>
      </c>
      <c r="W10" s="22">
        <f>Assumptions!$B$36*(94+158*MIN(1,'Capacity &amp; Capex'!W7/180000))</f>
        <v/>
      </c>
      <c r="X10" s="22">
        <f>Assumptions!$B$36*(94+158*MIN(1,'Capacity &amp; Capex'!X7/180000))</f>
        <v/>
      </c>
      <c r="Y10" s="22">
        <f>Assumptions!$B$36*(94+158*MIN(1,'Capacity &amp; Capex'!Y7/180000))</f>
        <v/>
      </c>
      <c r="Z10" s="22">
        <f>Assumptions!$B$36*(94+158*MIN(1,'Capacity &amp; Capex'!Z7/180000))</f>
        <v/>
      </c>
      <c r="AA10" s="22">
        <f>Assumptions!$B$36*(94+158*MIN(1,'Capacity &amp; Capex'!AA7/180000))</f>
        <v/>
      </c>
    </row>
    <row r="11">
      <c r="A11" s="10" t="inlineStr">
        <is>
          <t>Technology licence royalty</t>
        </is>
      </c>
      <c r="B11" s="6" t="inlineStr">
        <is>
          <t>$</t>
        </is>
      </c>
      <c r="C11" s="22">
        <f>'Revenue Ramp'!C8*Assumptions!$B$40</f>
        <v/>
      </c>
      <c r="D11" s="22">
        <f>'Revenue Ramp'!D8*Assumptions!$B$40</f>
        <v/>
      </c>
      <c r="E11" s="22">
        <f>'Revenue Ramp'!E8*Assumptions!$B$40</f>
        <v/>
      </c>
      <c r="F11" s="22">
        <f>'Revenue Ramp'!F8*Assumptions!$B$40</f>
        <v/>
      </c>
      <c r="G11" s="22">
        <f>'Revenue Ramp'!G8*Assumptions!$B$40</f>
        <v/>
      </c>
      <c r="H11" s="22">
        <f>'Revenue Ramp'!H8*Assumptions!$B$40</f>
        <v/>
      </c>
      <c r="I11" s="22">
        <f>'Revenue Ramp'!I8*Assumptions!$B$40</f>
        <v/>
      </c>
      <c r="J11" s="22">
        <f>'Revenue Ramp'!J8*Assumptions!$B$40</f>
        <v/>
      </c>
      <c r="K11" s="22">
        <f>'Revenue Ramp'!K8*Assumptions!$B$40</f>
        <v/>
      </c>
      <c r="L11" s="22">
        <f>'Revenue Ramp'!L8*Assumptions!$B$40</f>
        <v/>
      </c>
      <c r="M11" s="22">
        <f>'Revenue Ramp'!M8*Assumptions!$B$40</f>
        <v/>
      </c>
      <c r="N11" s="22">
        <f>'Revenue Ramp'!N8*Assumptions!$B$40</f>
        <v/>
      </c>
      <c r="O11" s="22">
        <f>'Revenue Ramp'!O8*Assumptions!$B$40</f>
        <v/>
      </c>
      <c r="P11" s="22">
        <f>'Revenue Ramp'!P8*Assumptions!$B$40</f>
        <v/>
      </c>
      <c r="Q11" s="22">
        <f>'Revenue Ramp'!Q8*Assumptions!$B$40</f>
        <v/>
      </c>
      <c r="R11" s="22">
        <f>'Revenue Ramp'!R8*Assumptions!$B$40</f>
        <v/>
      </c>
      <c r="S11" s="22">
        <f>'Revenue Ramp'!S8*Assumptions!$B$40</f>
        <v/>
      </c>
      <c r="T11" s="22">
        <f>'Revenue Ramp'!T8*Assumptions!$B$40</f>
        <v/>
      </c>
      <c r="U11" s="22">
        <f>'Revenue Ramp'!U8*Assumptions!$B$40</f>
        <v/>
      </c>
      <c r="V11" s="22">
        <f>'Revenue Ramp'!V8*Assumptions!$B$40</f>
        <v/>
      </c>
      <c r="W11" s="22">
        <f>'Revenue Ramp'!W8*Assumptions!$B$40</f>
        <v/>
      </c>
      <c r="X11" s="22">
        <f>'Revenue Ramp'!X8*Assumptions!$B$40</f>
        <v/>
      </c>
      <c r="Y11" s="22">
        <f>'Revenue Ramp'!Y8*Assumptions!$B$40</f>
        <v/>
      </c>
      <c r="Z11" s="22">
        <f>'Revenue Ramp'!Z8*Assumptions!$B$40</f>
        <v/>
      </c>
      <c r="AA11" s="22">
        <f>'Revenue Ramp'!AA8*Assumptions!$B$40</f>
        <v/>
      </c>
    </row>
    <row r="12">
      <c r="A12" s="10" t="inlineStr">
        <is>
          <t>Formulation, packaging, outbound logistics</t>
        </is>
      </c>
      <c r="B12" s="6" t="inlineStr">
        <is>
          <t>$</t>
        </is>
      </c>
      <c r="C12" s="22">
        <f>'Revenue Ramp'!C8*Assumptions!$B$42</f>
        <v/>
      </c>
      <c r="D12" s="22">
        <f>'Revenue Ramp'!D8*Assumptions!$B$42</f>
        <v/>
      </c>
      <c r="E12" s="22">
        <f>'Revenue Ramp'!E8*Assumptions!$B$42</f>
        <v/>
      </c>
      <c r="F12" s="22">
        <f>'Revenue Ramp'!F8*Assumptions!$B$42</f>
        <v/>
      </c>
      <c r="G12" s="22">
        <f>'Revenue Ramp'!G8*Assumptions!$B$42</f>
        <v/>
      </c>
      <c r="H12" s="22">
        <f>'Revenue Ramp'!H8*Assumptions!$B$42</f>
        <v/>
      </c>
      <c r="I12" s="22">
        <f>'Revenue Ramp'!I8*Assumptions!$B$42</f>
        <v/>
      </c>
      <c r="J12" s="22">
        <f>'Revenue Ramp'!J8*Assumptions!$B$42</f>
        <v/>
      </c>
      <c r="K12" s="22">
        <f>'Revenue Ramp'!K8*Assumptions!$B$42</f>
        <v/>
      </c>
      <c r="L12" s="22">
        <f>'Revenue Ramp'!L8*Assumptions!$B$42</f>
        <v/>
      </c>
      <c r="M12" s="22">
        <f>'Revenue Ramp'!M8*Assumptions!$B$42</f>
        <v/>
      </c>
      <c r="N12" s="22">
        <f>'Revenue Ramp'!N8*Assumptions!$B$42</f>
        <v/>
      </c>
      <c r="O12" s="22">
        <f>'Revenue Ramp'!O8*Assumptions!$B$42</f>
        <v/>
      </c>
      <c r="P12" s="22">
        <f>'Revenue Ramp'!P8*Assumptions!$B$42</f>
        <v/>
      </c>
      <c r="Q12" s="22">
        <f>'Revenue Ramp'!Q8*Assumptions!$B$42</f>
        <v/>
      </c>
      <c r="R12" s="22">
        <f>'Revenue Ramp'!R8*Assumptions!$B$42</f>
        <v/>
      </c>
      <c r="S12" s="22">
        <f>'Revenue Ramp'!S8*Assumptions!$B$42</f>
        <v/>
      </c>
      <c r="T12" s="22">
        <f>'Revenue Ramp'!T8*Assumptions!$B$42</f>
        <v/>
      </c>
      <c r="U12" s="22">
        <f>'Revenue Ramp'!U8*Assumptions!$B$42</f>
        <v/>
      </c>
      <c r="V12" s="22">
        <f>'Revenue Ramp'!V8*Assumptions!$B$42</f>
        <v/>
      </c>
      <c r="W12" s="22">
        <f>'Revenue Ramp'!W8*Assumptions!$B$42</f>
        <v/>
      </c>
      <c r="X12" s="22">
        <f>'Revenue Ramp'!X8*Assumptions!$B$42</f>
        <v/>
      </c>
      <c r="Y12" s="22">
        <f>'Revenue Ramp'!Y8*Assumptions!$B$42</f>
        <v/>
      </c>
      <c r="Z12" s="22">
        <f>'Revenue Ramp'!Z8*Assumptions!$B$42</f>
        <v/>
      </c>
      <c r="AA12" s="22">
        <f>'Revenue Ramp'!AA8*Assumptions!$B$42</f>
        <v/>
      </c>
    </row>
    <row r="13">
      <c r="A13" s="10" t="inlineStr">
        <is>
          <t>Selling, general and administrative</t>
        </is>
      </c>
      <c r="B13" s="6" t="inlineStr">
        <is>
          <t>$</t>
        </is>
      </c>
      <c r="C13" s="22">
        <f>('Revenue Ramp'!C8+Credits!C15)*Assumptions!$B$41</f>
        <v/>
      </c>
      <c r="D13" s="22">
        <f>('Revenue Ramp'!D8+Credits!D15)*Assumptions!$B$41</f>
        <v/>
      </c>
      <c r="E13" s="22">
        <f>('Revenue Ramp'!E8+Credits!E15)*Assumptions!$B$41</f>
        <v/>
      </c>
      <c r="F13" s="22">
        <f>('Revenue Ramp'!F8+Credits!F15)*Assumptions!$B$41</f>
        <v/>
      </c>
      <c r="G13" s="22">
        <f>('Revenue Ramp'!G8+Credits!G15)*Assumptions!$B$41</f>
        <v/>
      </c>
      <c r="H13" s="22">
        <f>('Revenue Ramp'!H8+Credits!H15)*Assumptions!$B$41</f>
        <v/>
      </c>
      <c r="I13" s="22">
        <f>('Revenue Ramp'!I8+Credits!I15)*Assumptions!$B$41</f>
        <v/>
      </c>
      <c r="J13" s="22">
        <f>('Revenue Ramp'!J8+Credits!J15)*Assumptions!$B$41</f>
        <v/>
      </c>
      <c r="K13" s="22">
        <f>('Revenue Ramp'!K8+Credits!K15)*Assumptions!$B$41</f>
        <v/>
      </c>
      <c r="L13" s="22">
        <f>('Revenue Ramp'!L8+Credits!L15)*Assumptions!$B$41</f>
        <v/>
      </c>
      <c r="M13" s="22">
        <f>('Revenue Ramp'!M8+Credits!M15)*Assumptions!$B$41</f>
        <v/>
      </c>
      <c r="N13" s="22">
        <f>('Revenue Ramp'!N8+Credits!N15)*Assumptions!$B$41</f>
        <v/>
      </c>
      <c r="O13" s="22">
        <f>('Revenue Ramp'!O8+Credits!O15)*Assumptions!$B$41</f>
        <v/>
      </c>
      <c r="P13" s="22">
        <f>('Revenue Ramp'!P8+Credits!P15)*Assumptions!$B$41</f>
        <v/>
      </c>
      <c r="Q13" s="22">
        <f>('Revenue Ramp'!Q8+Credits!Q15)*Assumptions!$B$41</f>
        <v/>
      </c>
      <c r="R13" s="22">
        <f>('Revenue Ramp'!R8+Credits!R15)*Assumptions!$B$41</f>
        <v/>
      </c>
      <c r="S13" s="22">
        <f>('Revenue Ramp'!S8+Credits!S15)*Assumptions!$B$41</f>
        <v/>
      </c>
      <c r="T13" s="22">
        <f>('Revenue Ramp'!T8+Credits!T15)*Assumptions!$B$41</f>
        <v/>
      </c>
      <c r="U13" s="22">
        <f>('Revenue Ramp'!U8+Credits!U15)*Assumptions!$B$41</f>
        <v/>
      </c>
      <c r="V13" s="22">
        <f>('Revenue Ramp'!V8+Credits!V15)*Assumptions!$B$41</f>
        <v/>
      </c>
      <c r="W13" s="22">
        <f>('Revenue Ramp'!W8+Credits!W15)*Assumptions!$B$41</f>
        <v/>
      </c>
      <c r="X13" s="22">
        <f>('Revenue Ramp'!X8+Credits!X15)*Assumptions!$B$41</f>
        <v/>
      </c>
      <c r="Y13" s="22">
        <f>('Revenue Ramp'!Y8+Credits!Y15)*Assumptions!$B$41</f>
        <v/>
      </c>
      <c r="Z13" s="22">
        <f>('Revenue Ramp'!Z8+Credits!Z15)*Assumptions!$B$41</f>
        <v/>
      </c>
      <c r="AA13" s="22">
        <f>('Revenue Ramp'!AA8+Credits!AA15)*Assumptions!$B$41</f>
        <v/>
      </c>
    </row>
    <row r="14">
      <c r="A14" s="3" t="inlineStr">
        <is>
          <t>Total operating cost</t>
        </is>
      </c>
      <c r="B14" s="6" t="inlineStr">
        <is>
          <t>$</t>
        </is>
      </c>
      <c r="C14" s="25">
        <f>SUM(C6:C13)</f>
        <v/>
      </c>
      <c r="D14" s="25">
        <f>SUM(D6:D13)</f>
        <v/>
      </c>
      <c r="E14" s="25">
        <f>SUM(E6:E13)</f>
        <v/>
      </c>
      <c r="F14" s="25">
        <f>SUM(F6:F13)</f>
        <v/>
      </c>
      <c r="G14" s="25">
        <f>SUM(G6:G13)</f>
        <v/>
      </c>
      <c r="H14" s="25">
        <f>SUM(H6:H13)</f>
        <v/>
      </c>
      <c r="I14" s="25">
        <f>SUM(I6:I13)</f>
        <v/>
      </c>
      <c r="J14" s="25">
        <f>SUM(J6:J13)</f>
        <v/>
      </c>
      <c r="K14" s="25">
        <f>SUM(K6:K13)</f>
        <v/>
      </c>
      <c r="L14" s="25">
        <f>SUM(L6:L13)</f>
        <v/>
      </c>
      <c r="M14" s="25">
        <f>SUM(M6:M13)</f>
        <v/>
      </c>
      <c r="N14" s="25">
        <f>SUM(N6:N13)</f>
        <v/>
      </c>
      <c r="O14" s="25">
        <f>SUM(O6:O13)</f>
        <v/>
      </c>
      <c r="P14" s="25">
        <f>SUM(P6:P13)</f>
        <v/>
      </c>
      <c r="Q14" s="25">
        <f>SUM(Q6:Q13)</f>
        <v/>
      </c>
      <c r="R14" s="25">
        <f>SUM(R6:R13)</f>
        <v/>
      </c>
      <c r="S14" s="25">
        <f>SUM(S6:S13)</f>
        <v/>
      </c>
      <c r="T14" s="25">
        <f>SUM(T6:T13)</f>
        <v/>
      </c>
      <c r="U14" s="25">
        <f>SUM(U6:U13)</f>
        <v/>
      </c>
      <c r="V14" s="25">
        <f>SUM(V6:V13)</f>
        <v/>
      </c>
      <c r="W14" s="25">
        <f>SUM(W6:W13)</f>
        <v/>
      </c>
      <c r="X14" s="25">
        <f>SUM(X6:X13)</f>
        <v/>
      </c>
      <c r="Y14" s="25">
        <f>SUM(Y6:Y13)</f>
        <v/>
      </c>
      <c r="Z14" s="25">
        <f>SUM(Z6:Z13)</f>
        <v/>
      </c>
      <c r="AA14" s="25">
        <f>SUM(AA6:AA13)</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2026-08-28T00:27:29Z</dcterms:created>
  <dcterms:modified xmlns:dcterms="http://purl.org/dc/terms/" xmlns:xsi="http://www.w3.org/2001/XMLSchema-instance" xsi:type="dcterms:W3CDTF">2026-08-28T00:27:29Z</dcterms:modified>
</cp:coreProperties>
</file>